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activeTab="2"/>
  </bookViews>
  <sheets>
    <sheet name="标段划分及最高限价" sheetId="4" r:id="rId1"/>
    <sheet name="各标段工作量清单汇总表" sheetId="5" r:id="rId2"/>
    <sheet name="单项最高限价" sheetId="6" r:id="rId3"/>
    <sheet name="各标段工作量清单明细表" sheetId="3"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<sst xmlns="http://schemas.openxmlformats.org/spreadsheetml/2006/main" count="696" uniqueCount="553">
  <si>
    <t>2026批次镇江市市管绿地养护项目标段划分及最高限价汇总表</t>
  </si>
  <si>
    <t>序号</t>
  </si>
  <si>
    <t>标段名称</t>
  </si>
  <si>
    <t>大概范围</t>
  </si>
  <si>
    <t>管养面积（平方米）</t>
  </si>
  <si>
    <t>一年最高限价（元）</t>
  </si>
  <si>
    <t>备注</t>
  </si>
  <si>
    <t>学府</t>
  </si>
  <si>
    <t>禹山路（含）以南，丁卯桥路以北，康平路（含）以东，左湖路（含）以西，一夜河，胜利港，禹象路，象山路（南），上隍南路</t>
  </si>
  <si>
    <t>焦山</t>
  </si>
  <si>
    <t>京江路（京口润州分界线-江滨路）（含）以南，禹山路（不含）以北，第一楼街以东，汝山路（含）以西（含象山路全线）</t>
  </si>
  <si>
    <t>官塘</t>
  </si>
  <si>
    <t>南徐大道（不含）以南，金润大道（不含）以北，环山路以东，宝平路（含）以西</t>
  </si>
  <si>
    <t>金山</t>
  </si>
  <si>
    <t>长江路（含解放路-和平路段）以北、京江路（江海之门-京口润州分界线）以南，润州路（不含）以东，新河西岸（含）以西</t>
  </si>
  <si>
    <t>南徐南</t>
  </si>
  <si>
    <t>凤凰山路（不含）以南，金润大道1标、2标（含)以北，御桥港路（不含）以东、九华山路（含）以西（含九华山路、檀山路（南）全线）</t>
  </si>
  <si>
    <t>北府</t>
  </si>
  <si>
    <t>登云山路（含）以南，南徐大道（含）（官塘桥路-庄泉路）以北，檀山路（不含）以东、解放路以西（含南山路、北府路、黄山西路全线），竹林路</t>
  </si>
  <si>
    <t>朱方</t>
  </si>
  <si>
    <t>文化公园，团山路、龙脉团山遗址公园，长江路（和平路-润州路）（含）以南，南徐大道（朱方路-庄泉路）（含）以北，美的城周边路网（含）以东，檀山路（北）（含）以西，（含朱方路全线）</t>
  </si>
  <si>
    <t>高新南</t>
  </si>
  <si>
    <t>南徐大道（朱方路向西）（含）以南，沟西路（含）以北，戴家门路（不含）以东，长山河西侧（含）以西</t>
  </si>
  <si>
    <t>南徐北</t>
  </si>
  <si>
    <t>南徐大道（不含)以南，凤凰山路（含)以北，长山河东侧（含）以东，九华山路（不含）以西，（含御桥港路（团山路-五洲山路）、枣林路全线；不含文化公园，团山路、龙脉团山遗址公园）</t>
  </si>
  <si>
    <t>高新北</t>
  </si>
  <si>
    <t>京江路（长江路-润州路）（含）以南，南徐大道（不含）以北，疏港路（含）以东，润州路（含）以西（含润州广场）</t>
  </si>
  <si>
    <t>合计</t>
  </si>
  <si>
    <t>2026批次镇江市市管绿地养护项目各标段工作清单汇总表</t>
  </si>
  <si>
    <t>项目序号</t>
  </si>
  <si>
    <t>行道树</t>
  </si>
  <si>
    <t>景观树</t>
  </si>
  <si>
    <t>绿地</t>
  </si>
  <si>
    <t>草花</t>
  </si>
  <si>
    <t>观赏性草本地被</t>
  </si>
  <si>
    <t>铺装</t>
  </si>
  <si>
    <t>水面</t>
  </si>
  <si>
    <t>护栏</t>
  </si>
  <si>
    <t>景亭</t>
  </si>
  <si>
    <t>廊架</t>
  </si>
  <si>
    <t>栈道</t>
  </si>
  <si>
    <t>坐凳</t>
  </si>
  <si>
    <t>垃圾箱</t>
  </si>
  <si>
    <t>安保</t>
  </si>
  <si>
    <t>麦冬</t>
  </si>
  <si>
    <t>草坪</t>
  </si>
  <si>
    <t>护栏暂列金</t>
  </si>
  <si>
    <t>管养面积（㎡）</t>
  </si>
  <si>
    <t>最高限价</t>
  </si>
  <si>
    <t>数量（株）</t>
  </si>
  <si>
    <t>养护（㎡）</t>
  </si>
  <si>
    <t>保洁（㎡）</t>
  </si>
  <si>
    <t>面积（㎡）</t>
  </si>
  <si>
    <t>绿岛护栏（m）</t>
  </si>
  <si>
    <t>石护栏（m）</t>
  </si>
  <si>
    <t>长度（m）</t>
  </si>
  <si>
    <t>数量（个）</t>
  </si>
  <si>
    <t>金额（元）</t>
  </si>
  <si>
    <t>一年金额(元）</t>
  </si>
  <si>
    <t>总计</t>
  </si>
  <si>
    <t>单价最高限价</t>
  </si>
  <si>
    <t>2026批次镇江市市管绿地单项最高限价</t>
  </si>
  <si>
    <t>类别或单项</t>
  </si>
  <si>
    <t>单位</t>
  </si>
  <si>
    <t>服务内容</t>
  </si>
  <si>
    <t>元/株·年</t>
  </si>
  <si>
    <t>详见绿化养护的质量标准和要求</t>
  </si>
  <si>
    <t>养护</t>
  </si>
  <si>
    <t>元/㎡·年</t>
  </si>
  <si>
    <t>保洁</t>
  </si>
  <si>
    <t>除绿化废弃物以外的保洁（详见绿化养护的质量标准和要求）</t>
  </si>
  <si>
    <t>地形调整、土壤改良、水肥管理、除草、保洁、病虫害防治等，更换、补植规格严格按照说明进行，一年更换四次草花</t>
  </si>
  <si>
    <t>地形调整、土壤改良、水肥管理、除草、保洁、病虫害防治等，更换、补植规格严格按照说明进行，一年更换一次</t>
  </si>
  <si>
    <t>水体水草清理、漂浮物清除、岸边杂草清除、垃圾保洁、警示标记设置、安全防护等。</t>
  </si>
  <si>
    <t>巡视看护、保洁、零星损坏设施维修，确保设施完好、完整、整洁，无牛皮癣及乱涂乱画痕迹等；绿岛护栏倾倒及时扶正，如遇损坏须修复或更换到位；廊架、景亭、栈道、坐凳每年油漆出新一次（详见第四部分项目技术要求）；景亭、廊架、栈道等严重损坏设施发现上报至绿化管理站，安排财政资金进行大修，养护单位负责安全隐患设施部位加设警示标记并负责大修前的安全看护工作等。</t>
  </si>
  <si>
    <t>绿岛护栏</t>
  </si>
  <si>
    <t>元/M·年</t>
  </si>
  <si>
    <t>石护栏</t>
  </si>
  <si>
    <t>元/个·年</t>
  </si>
  <si>
    <t>箱内垃圾清理外运、箱面保洁、零星损坏修复等</t>
  </si>
  <si>
    <t>对公园内的湖面、山体、步道及各种设施进行巡查，杜绝游泳、清洗、取水、非法网鱼、电鱼和钓鱼行为，协助养护单位做好园内及湖面的保洁工作。</t>
  </si>
  <si>
    <t>草坪更新</t>
  </si>
  <si>
    <t>整地，满铺百慕大+黑麦草混播草毯，铺种方式：带砂（1~2cm的铺设厚度）</t>
  </si>
  <si>
    <t>麦冬更新</t>
  </si>
  <si>
    <t>整地，栽植81丛/m2，每丛3-5芽</t>
  </si>
  <si>
    <t>2026批次镇江市市管绿地养护项目各标段工作量清单明细表</t>
  </si>
  <si>
    <t>道路名称</t>
  </si>
  <si>
    <t>道路起止点</t>
  </si>
  <si>
    <t>上隍南路</t>
  </si>
  <si>
    <t>金润大道往北-金港大道向南600m</t>
  </si>
  <si>
    <t>一夜河</t>
  </si>
  <si>
    <t>汝山路-胜利港（南侧）</t>
  </si>
  <si>
    <t>胜利港</t>
  </si>
  <si>
    <t>禹山路向北到头</t>
  </si>
  <si>
    <t>禹象路</t>
  </si>
  <si>
    <t>禹山路-象山路向北360m</t>
  </si>
  <si>
    <t>禹山路</t>
  </si>
  <si>
    <t>东吴路-谷阳路</t>
  </si>
  <si>
    <t>谷阳路-左湖立交桥</t>
  </si>
  <si>
    <t>谷阳路</t>
  </si>
  <si>
    <t>学府路-宗泽路</t>
  </si>
  <si>
    <t>象山路（南）</t>
  </si>
  <si>
    <t>谷阳路延伸段</t>
  </si>
  <si>
    <t>禹山路-宗泽路</t>
  </si>
  <si>
    <t>楚桥路</t>
  </si>
  <si>
    <t>学府路-运河</t>
  </si>
  <si>
    <t>智慧大道</t>
  </si>
  <si>
    <t>学府路-古运河桥</t>
  </si>
  <si>
    <t>桓王亭公园</t>
  </si>
  <si>
    <t>学府路、智慧大道围成绿地</t>
  </si>
  <si>
    <t>桓王亭路</t>
  </si>
  <si>
    <t>桓王路-智慧大道</t>
  </si>
  <si>
    <t>桓王路</t>
  </si>
  <si>
    <t>学府路-汝山路</t>
  </si>
  <si>
    <t>汝山路(原纬八路）</t>
  </si>
  <si>
    <t>谷阳路-智慧大道</t>
  </si>
  <si>
    <t>恒运路（原纬七路）</t>
  </si>
  <si>
    <t>纬七路一中门口西侧绿地面积:1078.6平方米</t>
  </si>
  <si>
    <t>纬七路学林雅郡南门两侧绿地面积:798.4平方米</t>
  </si>
  <si>
    <t>恒运路</t>
  </si>
  <si>
    <t>谷阳路-焦顶山路</t>
  </si>
  <si>
    <r>
      <rPr>
        <sz val="6"/>
        <color rgb="FF000000"/>
        <rFont val="宋体"/>
        <charset val="134"/>
      </rPr>
      <t>恒运路与和谷阳路口</t>
    </r>
    <r>
      <rPr>
        <sz val="6"/>
        <color rgb="FF000000"/>
        <rFont val="Arial"/>
        <charset val="134"/>
      </rPr>
      <t>(</t>
    </r>
    <r>
      <rPr>
        <sz val="6"/>
        <color rgb="FF000000"/>
        <rFont val="宋体"/>
        <charset val="134"/>
      </rPr>
      <t>水业公司</t>
    </r>
    <r>
      <rPr>
        <sz val="6"/>
        <color rgb="FF000000"/>
        <rFont val="Arial"/>
        <charset val="134"/>
      </rPr>
      <t>)</t>
    </r>
    <r>
      <rPr>
        <sz val="6"/>
        <color rgb="FF000000"/>
        <rFont val="宋体"/>
        <charset val="134"/>
      </rPr>
      <t>门口绿地面积是</t>
    </r>
    <r>
      <rPr>
        <sz val="6"/>
        <color rgb="FF000000"/>
        <rFont val="Arial"/>
        <charset val="134"/>
      </rPr>
      <t>125.3</t>
    </r>
    <r>
      <rPr>
        <sz val="6"/>
        <color rgb="FF000000"/>
        <rFont val="宋体"/>
        <charset val="134"/>
      </rPr>
      <t>平方米</t>
    </r>
  </si>
  <si>
    <t>焦顶山路</t>
  </si>
  <si>
    <t>苗家湾路-恒运路</t>
  </si>
  <si>
    <t>焦顶山西路</t>
  </si>
  <si>
    <t>焦山路-枫林路</t>
  </si>
  <si>
    <t>宗泽路</t>
  </si>
  <si>
    <t>谷阳路-宗泽公园</t>
  </si>
  <si>
    <t>花山路-象山国土所</t>
  </si>
  <si>
    <t>向家门绿地</t>
  </si>
  <si>
    <t>花山路、焦山路围成绿地</t>
  </si>
  <si>
    <t>焦山路</t>
  </si>
  <si>
    <t>禹山路-鼎石桥路（不含）</t>
  </si>
  <si>
    <t>焦山路中段</t>
  </si>
  <si>
    <t>学府路-京口路</t>
  </si>
  <si>
    <t>京口路-小米山路</t>
  </si>
  <si>
    <t>花箱42个</t>
  </si>
  <si>
    <t>花山路</t>
  </si>
  <si>
    <t>古城路-王家湾路路口（220KV京口变电所门口）</t>
  </si>
  <si>
    <t>京口路</t>
  </si>
  <si>
    <t>学府路-敏成小学门口向东</t>
  </si>
  <si>
    <t>八角亭支路</t>
  </si>
  <si>
    <t>石马湾路向西-京口路</t>
  </si>
  <si>
    <t>古城路</t>
  </si>
  <si>
    <t>东吴路-桃花坞路</t>
  </si>
  <si>
    <t>石马湾路</t>
  </si>
  <si>
    <t>京口路-桃花坞路</t>
  </si>
  <si>
    <t>京旺路</t>
  </si>
  <si>
    <t>老山路-京口路</t>
  </si>
  <si>
    <t>小米山路</t>
  </si>
  <si>
    <t>京口路-焦山路</t>
  </si>
  <si>
    <t>焦山路-桃花坞路</t>
  </si>
  <si>
    <t>老山路</t>
  </si>
  <si>
    <t>京口路向南600米</t>
  </si>
  <si>
    <t>苗家湾路</t>
  </si>
  <si>
    <t>京口路-古运河桥&lt;含&gt;</t>
  </si>
  <si>
    <t>口袋公园提升改造，新增景观树11株，铺装338平方，无障碍坡道护栏13.4m，特色六边形防腐木坐凳7个，彩钢坐凳18.6m，花池107.14m（六边形坐凳按2米一个，花池宽度按50cm算在铺装内）</t>
  </si>
  <si>
    <t>戴家湾路</t>
  </si>
  <si>
    <t>焦山路-苗家湾路向东到头</t>
  </si>
  <si>
    <t>戴家湾路东延段</t>
  </si>
  <si>
    <t>山泽路</t>
  </si>
  <si>
    <t>焦山路-苗家湾路</t>
  </si>
  <si>
    <t>小东庄路</t>
  </si>
  <si>
    <t>学府路</t>
  </si>
  <si>
    <t>梦溪广场-谷阳路</t>
  </si>
  <si>
    <t>2025.7梦溪广场东站公交站台（南北两侧）以西185m</t>
  </si>
  <si>
    <t>2025.9外国语学校门口75.4m</t>
  </si>
  <si>
    <t>谷阳路-禹山路</t>
  </si>
  <si>
    <t>汝山路</t>
  </si>
  <si>
    <t>谷阳路-学府路向北到头</t>
  </si>
  <si>
    <t>德高护理院-断头</t>
  </si>
  <si>
    <t>塔山路</t>
  </si>
  <si>
    <t>学府路-丁卯桥路</t>
  </si>
  <si>
    <t>东园巷</t>
  </si>
  <si>
    <t>矿机路-岗子下路</t>
  </si>
  <si>
    <t>矿机路</t>
  </si>
  <si>
    <t>天桥路-鸿鹤桥路</t>
  </si>
  <si>
    <t>鸿鹤桥路</t>
  </si>
  <si>
    <t>康平路-丁卯桥路</t>
  </si>
  <si>
    <t>康平路</t>
  </si>
  <si>
    <t>鸿鹤桥路-康宁路</t>
  </si>
  <si>
    <t>一（学府）</t>
  </si>
  <si>
    <t>京江路</t>
  </si>
  <si>
    <t>江滨路-京口润州分界线</t>
  </si>
  <si>
    <t>滨水路</t>
  </si>
  <si>
    <t>东吴路-焦山老大门</t>
  </si>
  <si>
    <t>滨水路边侧</t>
  </si>
  <si>
    <t>江滨路-焦山老大门</t>
  </si>
  <si>
    <t>北固湾路</t>
  </si>
  <si>
    <r>
      <rPr>
        <sz val="6"/>
        <color theme="1"/>
        <rFont val="方正仿宋_GBK"/>
        <charset val="134"/>
      </rPr>
      <t>梦溪路</t>
    </r>
    <r>
      <rPr>
        <sz val="6"/>
        <color theme="1"/>
        <rFont val="方正仿宋_GBK"/>
        <charset val="134"/>
      </rPr>
      <t>-</t>
    </r>
    <r>
      <rPr>
        <sz val="6"/>
        <color theme="1"/>
        <rFont val="方正仿宋_GBK"/>
        <charset val="134"/>
      </rPr>
      <t>东吴路</t>
    </r>
  </si>
  <si>
    <t>招商北固湾全期周边</t>
  </si>
  <si>
    <t>江滨路</t>
  </si>
  <si>
    <t>滨水路-东吴路</t>
  </si>
  <si>
    <t>漏项</t>
  </si>
  <si>
    <t>东吴路—汝山路</t>
  </si>
  <si>
    <t>江滨路东段</t>
  </si>
  <si>
    <t>江滨大道南侧公交站台-东吴路</t>
  </si>
  <si>
    <t>江洲路</t>
  </si>
  <si>
    <t>江滨路-滨水路</t>
  </si>
  <si>
    <t>阳光世纪花园片区</t>
  </si>
  <si>
    <t>挹江路、润阳西路、紫梧路、彩虹路、彩云路、彩霞路</t>
  </si>
  <si>
    <t>汝山路-清河路交叉口绿地</t>
  </si>
  <si>
    <t>西北角</t>
  </si>
  <si>
    <t>提升改造</t>
  </si>
  <si>
    <t>汝山路（北）</t>
  </si>
  <si>
    <t>江滨路-禹山路</t>
  </si>
  <si>
    <t>二夜河</t>
  </si>
  <si>
    <t>汝山路-友谊港</t>
  </si>
  <si>
    <t>友谊港</t>
  </si>
  <si>
    <t>江滨路-象山路</t>
  </si>
  <si>
    <t>象山路</t>
  </si>
  <si>
    <t>焦山路向西180米起—禹象路</t>
  </si>
  <si>
    <t>象山路西段</t>
  </si>
  <si>
    <t>东吴路-焦山路</t>
  </si>
  <si>
    <t>清河路</t>
  </si>
  <si>
    <t>焦山路—汝山路</t>
  </si>
  <si>
    <t>清平路</t>
  </si>
  <si>
    <t>清流路</t>
  </si>
  <si>
    <t>2025.7京口中学东门口四个岛头84m</t>
  </si>
  <si>
    <t>二（焦山）</t>
  </si>
  <si>
    <t>环山路</t>
  </si>
  <si>
    <t>金润大道-官塘桥路</t>
  </si>
  <si>
    <t>和儿庙西段（罗家头路）</t>
  </si>
  <si>
    <t>官塘桥路-环山路</t>
  </si>
  <si>
    <t>罗家头地块</t>
  </si>
  <si>
    <t>宜城大道-罗家头路、环山路-回龙路边侧</t>
  </si>
  <si>
    <t>官塘桥路</t>
  </si>
  <si>
    <t>南徐大道-五凤口118号</t>
  </si>
  <si>
    <t>四明河路</t>
  </si>
  <si>
    <t>三里岗路-秀山路</t>
  </si>
  <si>
    <t>四平山公园</t>
  </si>
  <si>
    <t>2025.9入口处26.5m</t>
  </si>
  <si>
    <t>新增20个垃圾箱；坐凳688m</t>
  </si>
  <si>
    <t>莱山路</t>
  </si>
  <si>
    <t>官山路-宝平路</t>
  </si>
  <si>
    <t>官平山路</t>
  </si>
  <si>
    <t>环山路-罗家头路</t>
  </si>
  <si>
    <t>五凤口路</t>
  </si>
  <si>
    <t>官塘桥路-宝平路</t>
  </si>
  <si>
    <t>板桥路</t>
  </si>
  <si>
    <t>官塘桥路-官山路</t>
  </si>
  <si>
    <t>三里岗路</t>
  </si>
  <si>
    <t>朱岗路</t>
  </si>
  <si>
    <t>三里岗路-莱山路</t>
  </si>
  <si>
    <t>宝珠路</t>
  </si>
  <si>
    <t>宝平路-朱岗路</t>
  </si>
  <si>
    <t>回龙路</t>
  </si>
  <si>
    <t>罗家头路-宜城大道</t>
  </si>
  <si>
    <t>官塘桥路-谷阳路跨铁路桥（宝平路）</t>
  </si>
  <si>
    <t>宝平路</t>
  </si>
  <si>
    <t>官塘桥路-金润大道</t>
  </si>
  <si>
    <t>三（官塘）</t>
  </si>
  <si>
    <t>长江路</t>
  </si>
  <si>
    <t>和平路-解放路</t>
  </si>
  <si>
    <t>2023.12解放路-彩虹桥岛头包围556.6m</t>
  </si>
  <si>
    <t>新河西岸</t>
  </si>
  <si>
    <t>江南桥（含）-长江路</t>
  </si>
  <si>
    <t>征润州路</t>
  </si>
  <si>
    <t>环湖路-长江路</t>
  </si>
  <si>
    <t>2024.11自南向北数，东侧首个路口岛头16m</t>
  </si>
  <si>
    <t>丰润街</t>
  </si>
  <si>
    <t>新河西岸-征润州路</t>
  </si>
  <si>
    <t>环湖路</t>
  </si>
  <si>
    <t>长江路-征润洲路</t>
  </si>
  <si>
    <t>金山湖路</t>
  </si>
  <si>
    <t>一泉路-菱苇路以东200m</t>
  </si>
  <si>
    <t>菱苇路</t>
  </si>
  <si>
    <t>航道路-环湖路</t>
  </si>
  <si>
    <t>金塔路</t>
  </si>
  <si>
    <t>京江路-环湖路</t>
  </si>
  <si>
    <t>金水路</t>
  </si>
  <si>
    <t>芙蓉路</t>
  </si>
  <si>
    <t>慈寿路</t>
  </si>
  <si>
    <t>环湖路-京江路</t>
  </si>
  <si>
    <t>京江路-京江路（绕圈）</t>
  </si>
  <si>
    <t>中泠路</t>
  </si>
  <si>
    <t>环湖路-慈寿路</t>
  </si>
  <si>
    <t>中泠路-长江路</t>
  </si>
  <si>
    <t>镜天路</t>
  </si>
  <si>
    <r>
      <rPr>
        <sz val="6"/>
        <color theme="1"/>
        <rFont val="方正仿宋_GBK"/>
        <charset val="134"/>
      </rPr>
      <t>京江路</t>
    </r>
    <r>
      <rPr>
        <sz val="6"/>
        <color theme="1"/>
        <rFont val="方正仿宋_GBK"/>
        <charset val="134"/>
      </rPr>
      <t>-</t>
    </r>
    <r>
      <rPr>
        <sz val="6"/>
        <color theme="1"/>
        <rFont val="方正仿宋_GBK"/>
        <charset val="134"/>
      </rPr>
      <t>长江路</t>
    </r>
  </si>
  <si>
    <t>百花路</t>
  </si>
  <si>
    <r>
      <rPr>
        <sz val="6"/>
        <color theme="1"/>
        <rFont val="仿宋"/>
        <charset val="134"/>
      </rPr>
      <t>润州路</t>
    </r>
    <r>
      <rPr>
        <sz val="6"/>
        <color theme="1"/>
        <rFont val="方正仿宋_GBK"/>
        <charset val="134"/>
      </rPr>
      <t>-</t>
    </r>
    <r>
      <rPr>
        <sz val="6"/>
        <color theme="1"/>
        <rFont val="方正仿宋_GBK"/>
        <charset val="134"/>
      </rPr>
      <t>金山湖路</t>
    </r>
  </si>
  <si>
    <t>百花路水系</t>
  </si>
  <si>
    <t>润州路-镜天路</t>
  </si>
  <si>
    <t>润湖河、环湖河整治工程</t>
  </si>
  <si>
    <t>金山湖路以西百花路-中泠路河道两侧、镜天路-中泠路河道两侧、中泠路以西万润路-京江路围墙边侧、京江路以南镜天路-中泠路围墙边侧</t>
  </si>
  <si>
    <t>江山樾河道</t>
  </si>
  <si>
    <t>镜天路-百花路-长江路</t>
  </si>
  <si>
    <t>万润路</t>
  </si>
  <si>
    <r>
      <rPr>
        <sz val="6"/>
        <color theme="1"/>
        <rFont val="方正仿宋_GBK"/>
        <charset val="134"/>
      </rPr>
      <t>润州路</t>
    </r>
    <r>
      <rPr>
        <sz val="6"/>
        <color theme="1"/>
        <rFont val="方正仿宋_GBK"/>
        <charset val="134"/>
      </rPr>
      <t>-</t>
    </r>
    <r>
      <rPr>
        <sz val="6"/>
        <color theme="1"/>
        <rFont val="方正仿宋_GBK"/>
        <charset val="134"/>
      </rPr>
      <t>中泠路</t>
    </r>
  </si>
  <si>
    <t>万润路水系</t>
  </si>
  <si>
    <t>润州路-镜天路（南侧）</t>
  </si>
  <si>
    <t>润州路—引航道闸站</t>
  </si>
  <si>
    <t>引航道闸站-京口润州分界线</t>
  </si>
  <si>
    <t>航道路</t>
  </si>
  <si>
    <t>滨江外环路（环岛）-中山北路延伸段（京江公交首末站）</t>
  </si>
  <si>
    <t>四（金山）</t>
  </si>
  <si>
    <t>金润大道1标</t>
  </si>
  <si>
    <t>瑞山路--宜城大道</t>
  </si>
  <si>
    <t>金润大道2标</t>
  </si>
  <si>
    <t>檀山路--瑞山路</t>
  </si>
  <si>
    <t>诈输村高铁南站2号地块东侧、西侧、北侧绿地</t>
  </si>
  <si>
    <t>友谊路、平安街、通达街环绕C型地块</t>
  </si>
  <si>
    <t>马山路</t>
  </si>
  <si>
    <t>九华山路-五洲山路</t>
  </si>
  <si>
    <t>站前路</t>
  </si>
  <si>
    <t>枣林路—檀山路</t>
  </si>
  <si>
    <t>友谊路</t>
  </si>
  <si>
    <t>白龙山路—金润大道</t>
  </si>
  <si>
    <t>友爱路</t>
  </si>
  <si>
    <t>马山路向西到头</t>
  </si>
  <si>
    <t>白龙山路</t>
  </si>
  <si>
    <t>九华山路-御桥港路</t>
  </si>
  <si>
    <t>五洲山路</t>
  </si>
  <si>
    <t>御桥港路—九华山路</t>
  </si>
  <si>
    <t>白龙山山体绿地</t>
  </si>
  <si>
    <t>万科蓝山小区旁</t>
  </si>
  <si>
    <t>新增5个垃圾箱</t>
  </si>
  <si>
    <t>小龙山路</t>
  </si>
  <si>
    <t>檀山路-御桥港路</t>
  </si>
  <si>
    <t>九华山路-檀山路</t>
  </si>
  <si>
    <t>凤凰河绿地</t>
  </si>
  <si>
    <t>御桥港路-枣林路</t>
  </si>
  <si>
    <t>2025.7紫檀小区东南角12.5m</t>
  </si>
  <si>
    <t>蛋山路</t>
  </si>
  <si>
    <t>凤凰山路-白龙山路</t>
  </si>
  <si>
    <t>九华山路</t>
  </si>
  <si>
    <t>金润大道-南徐大道</t>
  </si>
  <si>
    <t>九华山路西侧绿地</t>
  </si>
  <si>
    <t>五洲山路-金润大道</t>
  </si>
  <si>
    <t>九华山路东侧绿地</t>
  </si>
  <si>
    <t>白龙山路对面</t>
  </si>
  <si>
    <t>檀山路（南）</t>
  </si>
  <si>
    <t>五（南徐南）</t>
  </si>
  <si>
    <t>竹林路</t>
  </si>
  <si>
    <t>南徐大道-牌楼</t>
  </si>
  <si>
    <t>南门高架</t>
  </si>
  <si>
    <t>全线</t>
  </si>
  <si>
    <t>南徐大道</t>
  </si>
  <si>
    <t>官塘桥路-庄泉路</t>
  </si>
  <si>
    <t>林隐路</t>
  </si>
  <si>
    <t>黄山东路-黄山路</t>
  </si>
  <si>
    <t>南山路</t>
  </si>
  <si>
    <t>黄山路-朱方路</t>
  </si>
  <si>
    <t>五里路东北角：景观树3株，绿地17平方</t>
  </si>
  <si>
    <t>护栏：2025.7南山路与庄泉路口东北角，华铝饭店门口三块绿地220m</t>
  </si>
  <si>
    <t>何家湾路</t>
  </si>
  <si>
    <t>黄山东路-回民公墓</t>
  </si>
  <si>
    <t>健康路</t>
  </si>
  <si>
    <t>山门口-黄山东路</t>
  </si>
  <si>
    <t>部队大门两侧58.8平方</t>
  </si>
  <si>
    <t>黄山东路</t>
  </si>
  <si>
    <t>黄山南路-夜市（不含）</t>
  </si>
  <si>
    <t>健康路西延-南门天桥</t>
  </si>
  <si>
    <t>黄鹤山路</t>
  </si>
  <si>
    <t>南徐大道-北府路</t>
  </si>
  <si>
    <t>黄山南路</t>
  </si>
  <si>
    <t>南徐大道-中山西路</t>
  </si>
  <si>
    <t>人民广场</t>
  </si>
  <si>
    <t>南山路、九华山路、南徐大道、檀山路围合</t>
  </si>
  <si>
    <t>北府路</t>
  </si>
  <si>
    <t>朱方路-黄山东路</t>
  </si>
  <si>
    <t>茶砚山路西南角、东南角；檀山路东北角；干道办门前；政府北门东侧；黄山路东南角沿围墙向东30米；红星牡丹园围墙外；黄鹤山路东南角</t>
  </si>
  <si>
    <t>护栏：2025.7市政府北门、国家电网门口、与南山路交叉口东侧岛头218.5m</t>
  </si>
  <si>
    <t>黄山西路</t>
  </si>
  <si>
    <t>九华山路-黄山南路</t>
  </si>
  <si>
    <t>九华山路-北府路高架桥下</t>
  </si>
  <si>
    <t>庄泉路</t>
  </si>
  <si>
    <t>黄山西路-南徐大道</t>
  </si>
  <si>
    <t>百盛街、李家山路（原常发广场南环路）</t>
  </si>
  <si>
    <t>黄山西路-庄泉路</t>
  </si>
  <si>
    <t>达信街</t>
  </si>
  <si>
    <t>北府路-黄山西路</t>
  </si>
  <si>
    <t>李家山路</t>
  </si>
  <si>
    <t>九华山路-无名路</t>
  </si>
  <si>
    <t>桃李路</t>
  </si>
  <si>
    <t>北府路--李家山路</t>
  </si>
  <si>
    <t>北府路行政中心公交总站行道树22株，绿地37.8平方</t>
  </si>
  <si>
    <t>李苑路</t>
  </si>
  <si>
    <t>中海润泽园南侧边侧绿地</t>
  </si>
  <si>
    <t>北至润泽园小区红线、南至北府路人行道路牙、西至干道办东侧围墙、东至九华山路（公交公司围墙外侧不在移交范围，护栏为界）</t>
  </si>
  <si>
    <t>登云山路</t>
  </si>
  <si>
    <t>黄山北路-太古山路</t>
  </si>
  <si>
    <t>润州山路</t>
  </si>
  <si>
    <t>中山西路-镇江崇实女子中学东南侧</t>
  </si>
  <si>
    <t>红光路崇实路</t>
  </si>
  <si>
    <t>润州山路-登云山路</t>
  </si>
  <si>
    <t>六（北府）</t>
  </si>
  <si>
    <t>檀山路-朱方路</t>
  </si>
  <si>
    <t>庄泉路-檀山路</t>
  </si>
  <si>
    <t>培文学校旁90平方</t>
  </si>
  <si>
    <t>桑果路</t>
  </si>
  <si>
    <t>蚕桑路-朱方路</t>
  </si>
  <si>
    <t>金蚕路</t>
  </si>
  <si>
    <t>朱方路--断头</t>
  </si>
  <si>
    <t>七里路</t>
  </si>
  <si>
    <t>桑果路--美的三期北门</t>
  </si>
  <si>
    <t>朱方路-桑果路</t>
  </si>
  <si>
    <t>建勤路</t>
  </si>
  <si>
    <t>金蚕路-南徐大道</t>
  </si>
  <si>
    <t>朱方路</t>
  </si>
  <si>
    <t>润州路-中山北路</t>
  </si>
  <si>
    <t>行道树树池</t>
  </si>
  <si>
    <t>团山路-润州路</t>
  </si>
  <si>
    <t>茶砚山路</t>
  </si>
  <si>
    <t>北府路-南山路</t>
  </si>
  <si>
    <t>五里路-南山路</t>
  </si>
  <si>
    <t>五里路</t>
  </si>
  <si>
    <t>坡岗路-南山路</t>
  </si>
  <si>
    <t>坡岗路北段</t>
  </si>
  <si>
    <t>南徐大道-五里路</t>
  </si>
  <si>
    <t>草场湾路</t>
  </si>
  <si>
    <t>新城花园三区西北通道</t>
  </si>
  <si>
    <t>移交协议数据</t>
  </si>
  <si>
    <t>新城花园三区45号楼西侧—跑马山路</t>
  </si>
  <si>
    <t>跑马山路</t>
  </si>
  <si>
    <t>朱方路-檀山路铁路桥</t>
  </si>
  <si>
    <t>檀山路(北)</t>
  </si>
  <si>
    <t>中山西路-南徐大道</t>
  </si>
  <si>
    <t>2025.7鑫韵花园门口179m</t>
  </si>
  <si>
    <t>中山北路</t>
  </si>
  <si>
    <t>长江路-朱方路</t>
  </si>
  <si>
    <t>中山广场</t>
  </si>
  <si>
    <t>中山北路、朱方路、车站路围合</t>
  </si>
  <si>
    <t>文化公园</t>
  </si>
  <si>
    <t>南徐大道、枣林路、团山路、曙光路围合</t>
  </si>
  <si>
    <t>龙脉团山遗址公园</t>
  </si>
  <si>
    <t>团山路与万寿路围成绿地</t>
  </si>
  <si>
    <t>垃圾箱漏项</t>
  </si>
  <si>
    <t>团山路</t>
  </si>
  <si>
    <t>团山桥东侧-九华山路</t>
  </si>
  <si>
    <t>体育馆北侧河道</t>
  </si>
  <si>
    <t>团山路（含桥上绿化）</t>
  </si>
  <si>
    <t>团山桥东侧-朱方路</t>
  </si>
  <si>
    <t>桃西路</t>
  </si>
  <si>
    <t>运粮河路-朱方路</t>
  </si>
  <si>
    <t>太平路</t>
  </si>
  <si>
    <t>长江路—朱方路</t>
  </si>
  <si>
    <t>运粮河路</t>
  </si>
  <si>
    <t>润州路-桃西路</t>
  </si>
  <si>
    <t>解放湾路</t>
  </si>
  <si>
    <t>太平路—桃西路</t>
  </si>
  <si>
    <t>和平路</t>
  </si>
  <si>
    <t>长江路-车站路</t>
  </si>
  <si>
    <t>太平河河道边坡</t>
  </si>
  <si>
    <t>长江路边水闸</t>
  </si>
  <si>
    <t>润州路-和平路</t>
  </si>
  <si>
    <t>七（朱方）</t>
  </si>
  <si>
    <t>沟西路</t>
  </si>
  <si>
    <t>金润大道--断头路</t>
  </si>
  <si>
    <t>金润大道3标</t>
  </si>
  <si>
    <t>檀山路--乔家门</t>
  </si>
  <si>
    <t>长山河风光带（西）</t>
  </si>
  <si>
    <t>南徐大道-炸输村</t>
  </si>
  <si>
    <t>坐凳和垃圾箱有变化</t>
  </si>
  <si>
    <t>凤翔路</t>
  </si>
  <si>
    <t>润达路</t>
  </si>
  <si>
    <t>长山渠路-白龙山路</t>
  </si>
  <si>
    <t>长山渠路</t>
  </si>
  <si>
    <t>凤凰山路-团山路</t>
  </si>
  <si>
    <t>润旺路</t>
  </si>
  <si>
    <t>润兴路-长山渠路</t>
  </si>
  <si>
    <t>润兴路</t>
  </si>
  <si>
    <t>金润大道-团山路</t>
  </si>
  <si>
    <t>朱方路-戴家门路</t>
  </si>
  <si>
    <t>道院路</t>
  </si>
  <si>
    <t>团山路-曹家湾路</t>
  </si>
  <si>
    <t>陈家门路</t>
  </si>
  <si>
    <t>团山路-南徐大道</t>
  </si>
  <si>
    <t>彭公山路</t>
  </si>
  <si>
    <t>彭公山北段</t>
  </si>
  <si>
    <t>南徐大道-断头</t>
  </si>
  <si>
    <t>春晓路</t>
  </si>
  <si>
    <t>彭公山路-陈家门路</t>
  </si>
  <si>
    <t>朱方路-留脉湾路向西650m</t>
  </si>
  <si>
    <t>八（高新南）</t>
  </si>
  <si>
    <t>支路B</t>
  </si>
  <si>
    <t>工人路-曙光路</t>
  </si>
  <si>
    <t>工人路</t>
  </si>
  <si>
    <t>冠城路-曙光路</t>
  </si>
  <si>
    <t>景园路（支路A）</t>
  </si>
  <si>
    <t>檀山路-曙光路</t>
  </si>
  <si>
    <t>景园路</t>
  </si>
  <si>
    <t>枣林路-九华山路</t>
  </si>
  <si>
    <t>展馆路</t>
  </si>
  <si>
    <t>规划局东侧路-九华山路</t>
  </si>
  <si>
    <t>冠城路</t>
  </si>
  <si>
    <t>枣林路-御桥港路</t>
  </si>
  <si>
    <t>坡岗路</t>
  </si>
  <si>
    <t>南徐大道-团山路</t>
  </si>
  <si>
    <t>坡岗路南段</t>
  </si>
  <si>
    <t>团山路-蛋山路</t>
  </si>
  <si>
    <t>御桥港路</t>
  </si>
  <si>
    <t>团山路-五洲山路</t>
  </si>
  <si>
    <t>万寿路</t>
  </si>
  <si>
    <t>团山路—御桥港路</t>
  </si>
  <si>
    <t>云玫路（原云开甲第南侧道路）</t>
  </si>
  <si>
    <t>御桥港路-坡岗路</t>
  </si>
  <si>
    <t>长山河风光带（东）（含桥上绿化）</t>
  </si>
  <si>
    <t>南徐大道-京沪高铁桥下</t>
  </si>
  <si>
    <t>2025.9团山路和凤凰山路两个口子87m</t>
  </si>
  <si>
    <t>龙脉路-凤凰山路</t>
  </si>
  <si>
    <t>檀山路-龙脉路</t>
  </si>
  <si>
    <t>龙脉路</t>
  </si>
  <si>
    <t>九华山路—御桥港路</t>
  </si>
  <si>
    <t>蛋山路小游园</t>
  </si>
  <si>
    <t>蛋山路以西，松子头路（含）以东，金宝幼儿园以南，七里甸街道青少年平安法治文化公园（含）以北</t>
  </si>
  <si>
    <t>新增12个垃圾箱</t>
  </si>
  <si>
    <t>小龙山公园</t>
  </si>
  <si>
    <t>九华山路以西、枣林路以东，龙脉路以北，网球场旁园路以南</t>
  </si>
  <si>
    <t>龙湖公园</t>
  </si>
  <si>
    <t>枣林路、凤凰山路、檀山路、龙湖雅苑小区围墙围合</t>
  </si>
  <si>
    <t>凤凰山路</t>
  </si>
  <si>
    <t>润兴路-九华山路</t>
  </si>
  <si>
    <t>枣林路</t>
  </si>
  <si>
    <t>南徐大道-金润大道</t>
  </si>
  <si>
    <t>玉翠园枣林路边侧绿地</t>
  </si>
  <si>
    <t>小区门口新增106.6m</t>
  </si>
  <si>
    <t>九（南徐北）</t>
  </si>
  <si>
    <t>二道河路-润州路</t>
  </si>
  <si>
    <t>长江路边侧</t>
  </si>
  <si>
    <t>戴家门路-金中路</t>
  </si>
  <si>
    <t>镇江西出入口绿化</t>
  </si>
  <si>
    <t>高速出入口边侧绿化</t>
  </si>
  <si>
    <t>疏港路</t>
  </si>
  <si>
    <t>长江路-何家圩路</t>
  </si>
  <si>
    <t>戴家门路</t>
  </si>
  <si>
    <t>长江路-团山路</t>
  </si>
  <si>
    <t>庆丰圩路</t>
  </si>
  <si>
    <t>富润路-福馨路</t>
  </si>
  <si>
    <t>跃进路（三角地）绿化</t>
  </si>
  <si>
    <t>二道河路西</t>
  </si>
  <si>
    <t>二道河路</t>
  </si>
  <si>
    <t>京江路-长江路</t>
  </si>
  <si>
    <t>徐家圩路</t>
  </si>
  <si>
    <t>览江桥北路-览金桥北路</t>
  </si>
  <si>
    <t>柳城路</t>
  </si>
  <si>
    <t>长江路-京江路</t>
  </si>
  <si>
    <t>润江路</t>
  </si>
  <si>
    <t>京江路-金山水城五区西南门</t>
  </si>
  <si>
    <t>港前路</t>
  </si>
  <si>
    <t>大桥家园西侧绿化</t>
  </si>
  <si>
    <t>大桥家园西侧、港前路东侧</t>
  </si>
  <si>
    <t>长江路-润州路</t>
  </si>
  <si>
    <t>润州广场</t>
  </si>
  <si>
    <t>朱方路与润州路交叉口西南角</t>
  </si>
  <si>
    <t>垃圾箱现场清点</t>
  </si>
  <si>
    <t>润州路</t>
  </si>
  <si>
    <t>渡口-朱方路</t>
  </si>
  <si>
    <t>2024.10
润州路河道以西389m</t>
  </si>
  <si>
    <t>御桥巷</t>
  </si>
  <si>
    <t>润州路-润州区残联门口</t>
  </si>
  <si>
    <t>十（高新北）</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</si>
</sst>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Red]\(0\)"/>
    <numFmt numFmtId="178" formatCode="0.00_);[Red]\(0.00\)"/>
    <numFmt numFmtId="179" formatCode="0_ "/>
  </numFmts>
  <fonts count="62">
    <font>
      <sz val="11"/>
      <color theme="1"/>
      <name val="宋体"/>
      <charset val="134"/>
      <scheme val="minor"/>
    </font>
    <font>
      <sz val="11"/>
      <name val="宋体"/>
      <charset val="134"/>
      <scheme val="minor"/>
    </font>
    <font>
      <sz val="11"/>
      <color rgb="FFFF0000"/>
      <name val="宋体"/>
      <charset val="134"/>
      <scheme val="minor"/>
    </font>
    <font>
      <b/>
      <sz val="11"/>
      <color theme="1"/>
      <name val="宋体"/>
      <charset val="134"/>
      <scheme val="minor"/>
    </font>
    <font>
      <b/>
      <sz val="11"/>
      <color rgb="FFFF0000"/>
      <name val="宋体"/>
      <charset val="134"/>
      <scheme val="minor"/>
    </font>
    <font>
      <b/>
      <sz val="18"/>
      <color theme="1"/>
      <name val="宋体"/>
      <charset val="134"/>
      <scheme val="minor"/>
    </font>
    <font>
      <b/>
      <sz val="6"/>
      <name val="仿宋"/>
      <charset val="134"/>
    </font>
    <font>
      <b/>
      <sz val="6"/>
      <color indexed="8"/>
      <name val="仿宋"/>
      <charset val="134"/>
    </font>
    <font>
      <sz val="6"/>
      <name val="仿宋"/>
      <charset val="134"/>
    </font>
    <font>
      <sz val="6"/>
      <color theme="1"/>
      <name val="仿宋"/>
      <charset val="134"/>
    </font>
    <font>
      <sz val="6"/>
      <color theme="1"/>
      <name val="宋体"/>
      <charset val="134"/>
      <scheme val="minor"/>
    </font>
    <font>
      <sz val="6"/>
      <color rgb="FFFF0000"/>
      <name val="仿宋"/>
      <charset val="134"/>
    </font>
    <font>
      <sz val="6"/>
      <color rgb="FF000000"/>
      <name val="宋体"/>
      <charset val="134"/>
    </font>
    <font>
      <b/>
      <sz val="6"/>
      <color theme="1"/>
      <name val="仿宋"/>
      <charset val="134"/>
    </font>
    <font>
      <sz val="6"/>
      <color theme="1"/>
      <name val="方正仿宋_GBK"/>
      <charset val="134"/>
    </font>
    <font>
      <sz val="6"/>
      <name val="宋体"/>
      <charset val="134"/>
      <scheme val="minor"/>
    </font>
    <font>
      <b/>
      <sz val="6"/>
      <color theme="1"/>
      <name val="宋体"/>
      <charset val="134"/>
      <scheme val="minor"/>
    </font>
    <font>
      <b/>
      <sz val="6"/>
      <color theme="4"/>
      <name val="仿宋"/>
      <charset val="134"/>
    </font>
    <font>
      <b/>
      <sz val="6"/>
      <color rgb="FF00B050"/>
      <name val="仿宋"/>
      <charset val="134"/>
    </font>
    <font>
      <sz val="6"/>
      <color rgb="FFFF0000"/>
      <name val="宋体"/>
      <charset val="134"/>
      <scheme val="minor"/>
    </font>
    <font>
      <sz val="6"/>
      <name val="方正仿宋_GBK"/>
      <charset val="134"/>
    </font>
    <font>
      <sz val="6"/>
      <color rgb="FFFF0000"/>
      <name val="方正仿宋_GBK"/>
      <charset val="134"/>
    </font>
    <font>
      <b/>
      <sz val="6"/>
      <color theme="5" tint="-0.249977111117893"/>
      <name val="仿宋"/>
      <charset val="134"/>
    </font>
    <font>
      <b/>
      <sz val="6"/>
      <color rgb="FFFF0000"/>
      <name val="仿宋"/>
      <charset val="134"/>
    </font>
    <font>
      <sz val="20"/>
      <color theme="1"/>
      <name val="方正小标宋_GBK"/>
      <charset val="134"/>
    </font>
    <font>
      <b/>
      <sz val="12"/>
      <color theme="1"/>
      <name val="楷体"/>
      <charset val="134"/>
    </font>
    <font>
      <sz val="12"/>
      <color theme="1"/>
      <name val="楷体"/>
      <charset val="134"/>
    </font>
    <font>
      <sz val="11"/>
      <color theme="8"/>
      <name val="宋体"/>
      <charset val="134"/>
      <scheme val="minor"/>
    </font>
    <font>
      <sz val="8"/>
      <color theme="1"/>
      <name val="宋体"/>
      <charset val="134"/>
      <scheme val="minor"/>
    </font>
    <font>
      <b/>
      <sz val="8"/>
      <name val="宋体"/>
      <charset val="134"/>
      <scheme val="major"/>
    </font>
    <font>
      <b/>
      <sz val="8"/>
      <color indexed="8"/>
      <name val="宋体"/>
      <charset val="134"/>
      <scheme val="major"/>
    </font>
    <font>
      <sz val="8"/>
      <name val="宋体"/>
      <charset val="134"/>
      <scheme val="major"/>
    </font>
    <font>
      <sz val="8"/>
      <name val="宋体"/>
      <charset val="134"/>
      <scheme val="minor"/>
    </font>
    <font>
      <sz val="10"/>
      <color theme="1"/>
      <name val="宋体"/>
      <charset val="134"/>
      <scheme val="minor"/>
    </font>
    <font>
      <b/>
      <sz val="12"/>
      <color theme="1"/>
      <name val="宋体"/>
      <charset val="134"/>
      <scheme val="minor"/>
    </font>
    <font>
      <sz val="12"/>
      <name val="宋体"/>
      <charset val="134"/>
      <scheme val="minor"/>
    </font>
    <font>
      <sz val="12"/>
      <color theme="1"/>
      <name val="宋体"/>
      <charset val="134"/>
      <scheme val="minor"/>
    </font>
    <font>
      <b/>
      <sz val="14"/>
      <color theme="1"/>
      <name val="宋体"/>
      <charset val="134"/>
      <scheme val="minor"/>
    </font>
    <font>
      <sz val="14"/>
      <color theme="1"/>
      <name val="宋体"/>
      <charset val="134"/>
      <scheme val="minor"/>
    </font>
    <font>
      <b/>
      <sz val="10"/>
      <color theme="1"/>
      <name val="宋体"/>
      <charset val="134"/>
      <scheme val="minor"/>
    </font>
    <font>
      <b/>
      <sz val="10"/>
      <name val="宋体"/>
      <charset val="134"/>
      <scheme val="minor"/>
    </font>
    <font>
      <sz val="1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6"/>
      <color rgb="FF000000"/>
      <name val="Arial"/>
      <charset val="134"/>
    </font>
  </fonts>
  <fills count="34">
    <fill>
      <patternFill patternType="none"/>
    </fill>
    <fill>
      <patternFill patternType="gray125"/>
    </fill>
    <fill>
      <patternFill patternType="solid">
        <fgColor theme="4" tint="0.8"/>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rgb="FFC00000"/>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2"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0" fillId="3" borderId="11" applyNumberFormat="0" applyFont="0" applyAlignment="0" applyProtection="0">
      <alignment vertical="center"/>
    </xf>
    <xf numFmtId="0" fontId="44"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7" fillId="0" borderId="12" applyNumberFormat="0" applyFill="0" applyAlignment="0" applyProtection="0">
      <alignment vertical="center"/>
    </xf>
    <xf numFmtId="0" fontId="48" fillId="0" borderId="12" applyNumberFormat="0" applyFill="0" applyAlignment="0" applyProtection="0">
      <alignment vertical="center"/>
    </xf>
    <xf numFmtId="0" fontId="49" fillId="0" borderId="13" applyNumberFormat="0" applyFill="0" applyAlignment="0" applyProtection="0">
      <alignment vertical="center"/>
    </xf>
    <xf numFmtId="0" fontId="49" fillId="0" borderId="0" applyNumberFormat="0" applyFill="0" applyBorder="0" applyAlignment="0" applyProtection="0">
      <alignment vertical="center"/>
    </xf>
    <xf numFmtId="0" fontId="50" fillId="4" borderId="14" applyNumberFormat="0" applyAlignment="0" applyProtection="0">
      <alignment vertical="center"/>
    </xf>
    <xf numFmtId="0" fontId="51" fillId="5" borderId="15" applyNumberFormat="0" applyAlignment="0" applyProtection="0">
      <alignment vertical="center"/>
    </xf>
    <xf numFmtId="0" fontId="52" fillId="5" borderId="14" applyNumberFormat="0" applyAlignment="0" applyProtection="0">
      <alignment vertical="center"/>
    </xf>
    <xf numFmtId="0" fontId="53" fillId="6" borderId="16" applyNumberFormat="0" applyAlignment="0" applyProtection="0">
      <alignment vertical="center"/>
    </xf>
    <xf numFmtId="0" fontId="54" fillId="0" borderId="17" applyNumberFormat="0" applyFill="0" applyAlignment="0" applyProtection="0">
      <alignment vertical="center"/>
    </xf>
    <xf numFmtId="0" fontId="55" fillId="0" borderId="18" applyNumberFormat="0" applyFill="0" applyAlignment="0" applyProtection="0">
      <alignment vertical="center"/>
    </xf>
    <xf numFmtId="0" fontId="56" fillId="7" borderId="0" applyNumberFormat="0" applyBorder="0" applyAlignment="0" applyProtection="0">
      <alignment vertical="center"/>
    </xf>
    <xf numFmtId="0" fontId="57" fillId="8" borderId="0" applyNumberFormat="0" applyBorder="0" applyAlignment="0" applyProtection="0">
      <alignment vertical="center"/>
    </xf>
    <xf numFmtId="0" fontId="58" fillId="9" borderId="0" applyNumberFormat="0" applyBorder="0" applyAlignment="0" applyProtection="0">
      <alignment vertical="center"/>
    </xf>
    <xf numFmtId="0" fontId="59" fillId="10" borderId="0" applyNumberFormat="0" applyBorder="0" applyAlignment="0" applyProtection="0">
      <alignment vertical="center"/>
    </xf>
    <xf numFmtId="0" fontId="60" fillId="11" borderId="0" applyNumberFormat="0" applyBorder="0" applyAlignment="0" applyProtection="0">
      <alignment vertical="center"/>
    </xf>
    <xf numFmtId="0" fontId="60" fillId="12" borderId="0" applyNumberFormat="0" applyBorder="0" applyAlignment="0" applyProtection="0">
      <alignment vertical="center"/>
    </xf>
    <xf numFmtId="0" fontId="59" fillId="13" borderId="0" applyNumberFormat="0" applyBorder="0" applyAlignment="0" applyProtection="0">
      <alignment vertical="center"/>
    </xf>
    <xf numFmtId="0" fontId="59" fillId="14" borderId="0" applyNumberFormat="0" applyBorder="0" applyAlignment="0" applyProtection="0">
      <alignment vertical="center"/>
    </xf>
    <xf numFmtId="0" fontId="60" fillId="15" borderId="0" applyNumberFormat="0" applyBorder="0" applyAlignment="0" applyProtection="0">
      <alignment vertical="center"/>
    </xf>
    <xf numFmtId="0" fontId="60" fillId="16" borderId="0" applyNumberFormat="0" applyBorder="0" applyAlignment="0" applyProtection="0">
      <alignment vertical="center"/>
    </xf>
    <xf numFmtId="0" fontId="59" fillId="17" borderId="0" applyNumberFormat="0" applyBorder="0" applyAlignment="0" applyProtection="0">
      <alignment vertical="center"/>
    </xf>
    <xf numFmtId="0" fontId="59" fillId="18" borderId="0" applyNumberFormat="0" applyBorder="0" applyAlignment="0" applyProtection="0">
      <alignment vertical="center"/>
    </xf>
    <xf numFmtId="0" fontId="60" fillId="19" borderId="0" applyNumberFormat="0" applyBorder="0" applyAlignment="0" applyProtection="0">
      <alignment vertical="center"/>
    </xf>
    <xf numFmtId="0" fontId="60" fillId="20" borderId="0" applyNumberFormat="0" applyBorder="0" applyAlignment="0" applyProtection="0">
      <alignment vertical="center"/>
    </xf>
    <xf numFmtId="0" fontId="59" fillId="21" borderId="0" applyNumberFormat="0" applyBorder="0" applyAlignment="0" applyProtection="0">
      <alignment vertical="center"/>
    </xf>
    <xf numFmtId="0" fontId="59" fillId="22" borderId="0" applyNumberFormat="0" applyBorder="0" applyAlignment="0" applyProtection="0">
      <alignment vertical="center"/>
    </xf>
    <xf numFmtId="0" fontId="60" fillId="23" borderId="0" applyNumberFormat="0" applyBorder="0" applyAlignment="0" applyProtection="0">
      <alignment vertical="center"/>
    </xf>
    <xf numFmtId="0" fontId="60" fillId="24" borderId="0" applyNumberFormat="0" applyBorder="0" applyAlignment="0" applyProtection="0">
      <alignment vertical="center"/>
    </xf>
    <xf numFmtId="0" fontId="59" fillId="25" borderId="0" applyNumberFormat="0" applyBorder="0" applyAlignment="0" applyProtection="0">
      <alignment vertical="center"/>
    </xf>
    <xf numFmtId="0" fontId="59" fillId="26" borderId="0" applyNumberFormat="0" applyBorder="0" applyAlignment="0" applyProtection="0">
      <alignment vertical="center"/>
    </xf>
    <xf numFmtId="0" fontId="60" fillId="27" borderId="0" applyNumberFormat="0" applyBorder="0" applyAlignment="0" applyProtection="0">
      <alignment vertical="center"/>
    </xf>
    <xf numFmtId="0" fontId="60" fillId="28" borderId="0" applyNumberFormat="0" applyBorder="0" applyAlignment="0" applyProtection="0">
      <alignment vertical="center"/>
    </xf>
    <xf numFmtId="0" fontId="59" fillId="29" borderId="0" applyNumberFormat="0" applyBorder="0" applyAlignment="0" applyProtection="0">
      <alignment vertical="center"/>
    </xf>
    <xf numFmtId="0" fontId="59" fillId="30" borderId="0" applyNumberFormat="0" applyBorder="0" applyAlignment="0" applyProtection="0">
      <alignment vertical="center"/>
    </xf>
    <xf numFmtId="0" fontId="60" fillId="31" borderId="0" applyNumberFormat="0" applyBorder="0" applyAlignment="0" applyProtection="0">
      <alignment vertical="center"/>
    </xf>
    <xf numFmtId="0" fontId="60" fillId="32" borderId="0" applyNumberFormat="0" applyBorder="0" applyAlignment="0" applyProtection="0">
      <alignment vertical="center"/>
    </xf>
    <xf numFmtId="0" fontId="59" fillId="33" borderId="0" applyNumberFormat="0" applyBorder="0" applyAlignment="0" applyProtection="0">
      <alignment vertical="center"/>
    </xf>
  </cellStyleXfs>
  <cellXfs count="162">
    <xf numFmtId="0" fontId="0" fillId="0" borderId="0" xfId="0">
      <alignment vertical="center"/>
    </xf>
    <xf numFmtId="0" fontId="1" fillId="0" borderId="0" xfId="0" applyFont="1">
      <alignment vertical="center"/>
    </xf>
    <xf numFmtId="0" fontId="2" fillId="0" borderId="0" xfId="0" applyFont="1">
      <alignment vertical="center"/>
    </xf>
    <xf numFmtId="0" fontId="3" fillId="0" borderId="0" xfId="0" applyFont="1">
      <alignment vertical="center"/>
    </xf>
    <xf numFmtId="0" fontId="3" fillId="0" borderId="0" xfId="0" applyFont="1" applyAlignment="1">
      <alignment horizontal="center" vertical="center"/>
    </xf>
    <xf numFmtId="0" fontId="4" fillId="0" borderId="0" xfId="0" applyFont="1">
      <alignment vertical="center"/>
    </xf>
    <xf numFmtId="176" fontId="0" fillId="0" borderId="0" xfId="0" applyNumberFormat="1">
      <alignment vertical="center"/>
    </xf>
    <xf numFmtId="0" fontId="5" fillId="0" borderId="1" xfId="0" applyFont="1" applyBorder="1" applyAlignment="1">
      <alignment horizontal="center" vertical="center"/>
    </xf>
    <xf numFmtId="176" fontId="5" fillId="0" borderId="1" xfId="0" applyNumberFormat="1" applyFont="1" applyBorder="1" applyAlignment="1">
      <alignment horizontal="center" vertical="center"/>
    </xf>
    <xf numFmtId="177" fontId="6" fillId="0" borderId="2" xfId="0" applyNumberFormat="1" applyFont="1" applyBorder="1" applyAlignment="1">
      <alignment horizontal="center" vertical="center" wrapText="1"/>
    </xf>
    <xf numFmtId="177" fontId="7" fillId="0" borderId="2" xfId="0" applyNumberFormat="1" applyFont="1" applyFill="1" applyBorder="1" applyAlignment="1">
      <alignment horizontal="center" vertical="center" wrapText="1"/>
    </xf>
    <xf numFmtId="176" fontId="7" fillId="0" borderId="2" xfId="0" applyNumberFormat="1" applyFont="1" applyFill="1" applyBorder="1" applyAlignment="1">
      <alignment horizontal="center" vertical="center" wrapText="1"/>
    </xf>
    <xf numFmtId="176" fontId="6" fillId="0" borderId="2" xfId="0" applyNumberFormat="1" applyFont="1" applyFill="1" applyBorder="1" applyAlignment="1">
      <alignment horizontal="center" vertical="center" wrapText="1"/>
    </xf>
    <xf numFmtId="0" fontId="0" fillId="0" borderId="0" xfId="0" applyBorder="1">
      <alignment vertical="center"/>
    </xf>
    <xf numFmtId="177" fontId="7" fillId="0" borderId="3" xfId="0" applyNumberFormat="1" applyFont="1" applyFill="1" applyBorder="1" applyAlignment="1">
      <alignment horizontal="center" vertical="center" wrapText="1"/>
    </xf>
    <xf numFmtId="176" fontId="7" fillId="0" borderId="3" xfId="0" applyNumberFormat="1" applyFont="1" applyFill="1" applyBorder="1" applyAlignment="1">
      <alignment horizontal="center" vertical="center" wrapText="1"/>
    </xf>
    <xf numFmtId="176" fontId="6" fillId="0" borderId="3" xfId="0" applyNumberFormat="1" applyFont="1" applyFill="1" applyBorder="1" applyAlignment="1">
      <alignment horizontal="center" vertical="center" wrapText="1"/>
    </xf>
    <xf numFmtId="0" fontId="8" fillId="0" borderId="2" xfId="0" applyFont="1" applyBorder="1" applyAlignment="1">
      <alignment horizontal="center" vertical="center" wrapText="1"/>
    </xf>
    <xf numFmtId="0" fontId="9" fillId="0" borderId="2" xfId="0" applyFont="1" applyBorder="1" applyAlignment="1">
      <alignment horizontal="center" vertical="center" wrapText="1"/>
    </xf>
    <xf numFmtId="177" fontId="9" fillId="0" borderId="2" xfId="0" applyNumberFormat="1" applyFont="1" applyBorder="1" applyAlignment="1">
      <alignment horizontal="center" vertical="center" wrapText="1"/>
    </xf>
    <xf numFmtId="176" fontId="9" fillId="0" borderId="2" xfId="0" applyNumberFormat="1" applyFont="1" applyBorder="1" applyAlignment="1">
      <alignment horizontal="center" vertical="center" wrapText="1"/>
    </xf>
    <xf numFmtId="176" fontId="9" fillId="0" borderId="2" xfId="0" applyNumberFormat="1" applyFont="1" applyBorder="1" applyAlignment="1">
      <alignment horizontal="center" vertical="center"/>
    </xf>
    <xf numFmtId="176" fontId="10" fillId="0" borderId="2" xfId="0" applyNumberFormat="1" applyFont="1" applyBorder="1" applyAlignment="1">
      <alignment horizontal="center" vertical="center"/>
    </xf>
    <xf numFmtId="178" fontId="9" fillId="0" borderId="2" xfId="0" applyNumberFormat="1" applyFont="1" applyBorder="1" applyAlignment="1">
      <alignment horizontal="center" vertical="center" wrapText="1"/>
    </xf>
    <xf numFmtId="176" fontId="11" fillId="0" borderId="2" xfId="0" applyNumberFormat="1" applyFont="1" applyBorder="1" applyAlignment="1">
      <alignment horizontal="center" vertical="center" wrapText="1"/>
    </xf>
    <xf numFmtId="0" fontId="12" fillId="0" borderId="0" xfId="0" applyFont="1" applyBorder="1" applyAlignment="1">
      <alignment vertical="center" wrapText="1"/>
    </xf>
    <xf numFmtId="0" fontId="11" fillId="0" borderId="2" xfId="0" applyFont="1" applyBorder="1" applyAlignment="1">
      <alignment horizontal="center" vertical="center" wrapText="1"/>
    </xf>
    <xf numFmtId="177" fontId="11" fillId="0" borderId="2" xfId="0" applyNumberFormat="1" applyFont="1" applyBorder="1" applyAlignment="1">
      <alignment horizontal="center" vertical="center" wrapText="1"/>
    </xf>
    <xf numFmtId="176" fontId="11" fillId="0" borderId="2" xfId="0" applyNumberFormat="1" applyFont="1" applyBorder="1" applyAlignment="1">
      <alignment horizontal="center" vertical="center"/>
    </xf>
    <xf numFmtId="0" fontId="10" fillId="0" borderId="0" xfId="0" applyFont="1" applyBorder="1">
      <alignment vertical="center"/>
    </xf>
    <xf numFmtId="49" fontId="9" fillId="0" borderId="2" xfId="0" applyNumberFormat="1" applyFont="1" applyBorder="1" applyAlignment="1">
      <alignment horizontal="center" vertical="center" wrapText="1"/>
    </xf>
    <xf numFmtId="177" fontId="8" fillId="0" borderId="2" xfId="0" applyNumberFormat="1" applyFont="1" applyBorder="1" applyAlignment="1">
      <alignment horizontal="center" vertical="center" wrapText="1"/>
    </xf>
    <xf numFmtId="176" fontId="8" fillId="0" borderId="2" xfId="0" applyNumberFormat="1" applyFont="1" applyBorder="1" applyAlignment="1">
      <alignment horizontal="center" vertical="center" wrapText="1"/>
    </xf>
    <xf numFmtId="176" fontId="8" fillId="0" borderId="2" xfId="0" applyNumberFormat="1" applyFont="1" applyBorder="1" applyAlignment="1">
      <alignment horizontal="center" vertical="center"/>
    </xf>
    <xf numFmtId="0" fontId="1" fillId="0" borderId="0" xfId="0" applyFont="1" applyBorder="1">
      <alignment vertical="center"/>
    </xf>
    <xf numFmtId="0" fontId="10" fillId="0" borderId="0" xfId="0" applyFont="1" applyBorder="1" applyAlignment="1">
      <alignment vertical="center" wrapText="1"/>
    </xf>
    <xf numFmtId="0" fontId="2" fillId="0" borderId="0" xfId="0" applyFont="1" applyBorder="1">
      <alignment vertical="center"/>
    </xf>
    <xf numFmtId="177" fontId="6" fillId="0" borderId="4" xfId="0" applyNumberFormat="1" applyFont="1" applyBorder="1" applyAlignment="1">
      <alignment horizontal="center" vertical="center" wrapText="1"/>
    </xf>
    <xf numFmtId="177" fontId="6" fillId="0" borderId="5" xfId="0" applyNumberFormat="1" applyFont="1" applyBorder="1" applyAlignment="1">
      <alignment horizontal="center" vertical="center" wrapText="1"/>
    </xf>
    <xf numFmtId="177" fontId="6" fillId="0" borderId="6" xfId="0" applyNumberFormat="1" applyFont="1" applyBorder="1" applyAlignment="1">
      <alignment horizontal="center" vertical="center" wrapText="1"/>
    </xf>
    <xf numFmtId="0" fontId="13" fillId="0" borderId="2" xfId="0" applyFont="1" applyBorder="1" applyAlignment="1">
      <alignment horizontal="center" vertical="center" wrapText="1"/>
    </xf>
    <xf numFmtId="176" fontId="13" fillId="0" borderId="2" xfId="0" applyNumberFormat="1" applyFont="1" applyBorder="1" applyAlignment="1">
      <alignment horizontal="center" vertical="center" wrapText="1"/>
    </xf>
    <xf numFmtId="0" fontId="3" fillId="0" borderId="0" xfId="0" applyFont="1" applyBorder="1">
      <alignment vertical="center"/>
    </xf>
    <xf numFmtId="0" fontId="14" fillId="0" borderId="2" xfId="0" applyFont="1" applyBorder="1" applyAlignment="1">
      <alignment horizontal="center" vertical="center" wrapText="1"/>
    </xf>
    <xf numFmtId="178" fontId="14" fillId="0" borderId="2" xfId="0" applyNumberFormat="1" applyFont="1" applyBorder="1" applyAlignment="1">
      <alignment horizontal="center" vertical="center" wrapText="1"/>
    </xf>
    <xf numFmtId="177" fontId="14" fillId="0" borderId="2" xfId="0" applyNumberFormat="1" applyFont="1" applyBorder="1" applyAlignment="1">
      <alignment horizontal="center" vertical="center" wrapText="1"/>
    </xf>
    <xf numFmtId="176" fontId="14" fillId="0" borderId="2" xfId="0" applyNumberFormat="1" applyFont="1" applyBorder="1" applyAlignment="1">
      <alignment horizontal="center" vertical="center" wrapText="1"/>
    </xf>
    <xf numFmtId="0" fontId="15" fillId="0" borderId="0" xfId="0" applyFont="1" applyBorder="1">
      <alignment vertical="center"/>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178" fontId="11" fillId="0" borderId="2" xfId="0" applyNumberFormat="1" applyFont="1" applyBorder="1" applyAlignment="1">
      <alignment horizontal="center" vertical="center" wrapText="1"/>
    </xf>
    <xf numFmtId="0" fontId="3" fillId="0" borderId="0" xfId="0" applyFont="1" applyBorder="1" applyAlignment="1">
      <alignment horizontal="center" vertical="center"/>
    </xf>
    <xf numFmtId="0" fontId="16" fillId="0" borderId="2" xfId="0" applyFont="1" applyBorder="1" applyAlignment="1">
      <alignment horizontal="center" vertical="center"/>
    </xf>
    <xf numFmtId="176" fontId="16" fillId="0" borderId="2" xfId="0" applyNumberFormat="1" applyFont="1" applyBorder="1" applyAlignment="1">
      <alignment horizontal="center" vertical="center"/>
    </xf>
    <xf numFmtId="176" fontId="17" fillId="0" borderId="2" xfId="0" applyNumberFormat="1" applyFont="1" applyBorder="1" applyAlignment="1">
      <alignment horizontal="center" vertical="center"/>
    </xf>
    <xf numFmtId="176" fontId="17" fillId="0" borderId="2" xfId="0" applyNumberFormat="1" applyFont="1" applyBorder="1" applyAlignment="1">
      <alignment horizontal="center" vertical="center" wrapText="1"/>
    </xf>
    <xf numFmtId="176" fontId="18" fillId="0" borderId="2" xfId="0" applyNumberFormat="1" applyFont="1" applyBorder="1" applyAlignment="1">
      <alignment horizontal="center" vertical="center"/>
    </xf>
    <xf numFmtId="0" fontId="6" fillId="0" borderId="2" xfId="0" applyFont="1" applyBorder="1" applyAlignment="1">
      <alignment horizontal="center" vertical="center" wrapText="1"/>
    </xf>
    <xf numFmtId="176" fontId="6" fillId="0" borderId="2" xfId="0" applyNumberFormat="1" applyFont="1" applyBorder="1" applyAlignment="1">
      <alignment horizontal="center" vertical="center" wrapText="1"/>
    </xf>
    <xf numFmtId="0" fontId="19" fillId="0" borderId="0" xfId="0" applyFont="1" applyBorder="1">
      <alignment vertical="center"/>
    </xf>
    <xf numFmtId="0" fontId="8" fillId="0" borderId="7" xfId="0" applyFont="1" applyBorder="1" applyAlignment="1">
      <alignment horizontal="center" vertical="center" wrapText="1"/>
    </xf>
    <xf numFmtId="0" fontId="9" fillId="0" borderId="7" xfId="0" applyFont="1" applyBorder="1" applyAlignment="1">
      <alignment horizontal="center" vertical="center" wrapText="1"/>
    </xf>
    <xf numFmtId="176" fontId="8" fillId="0" borderId="7" xfId="0" applyNumberFormat="1" applyFont="1" applyBorder="1" applyAlignment="1">
      <alignment horizontal="center" vertical="center" wrapText="1"/>
    </xf>
    <xf numFmtId="178" fontId="8" fillId="0" borderId="2" xfId="0" applyNumberFormat="1" applyFont="1" applyBorder="1" applyAlignment="1">
      <alignment horizontal="center" vertical="center" wrapText="1"/>
    </xf>
    <xf numFmtId="176" fontId="6" fillId="0" borderId="2" xfId="0" applyNumberFormat="1" applyFont="1" applyBorder="1" applyAlignment="1">
      <alignment horizontal="center" vertical="center"/>
    </xf>
    <xf numFmtId="0" fontId="15" fillId="0" borderId="0" xfId="0" applyFont="1" applyBorder="1" applyAlignment="1">
      <alignment vertical="center" wrapText="1"/>
    </xf>
    <xf numFmtId="0" fontId="20" fillId="0" borderId="2" xfId="0" applyFont="1" applyBorder="1" applyAlignment="1">
      <alignment horizontal="center" vertical="center" wrapText="1"/>
    </xf>
    <xf numFmtId="178" fontId="20" fillId="0" borderId="2" xfId="0" applyNumberFormat="1" applyFont="1" applyBorder="1" applyAlignment="1">
      <alignment horizontal="center" vertical="center" wrapText="1"/>
    </xf>
    <xf numFmtId="177" fontId="20" fillId="0" borderId="2" xfId="0" applyNumberFormat="1" applyFont="1" applyBorder="1" applyAlignment="1">
      <alignment horizontal="center" vertical="center" wrapText="1"/>
    </xf>
    <xf numFmtId="176" fontId="21" fillId="0" borderId="2" xfId="0" applyNumberFormat="1" applyFont="1" applyBorder="1" applyAlignment="1">
      <alignment horizontal="center" vertical="center" wrapText="1"/>
    </xf>
    <xf numFmtId="0" fontId="9" fillId="0" borderId="3" xfId="0" applyFont="1" applyBorder="1" applyAlignment="1">
      <alignment horizontal="center" vertical="center" wrapText="1"/>
    </xf>
    <xf numFmtId="178" fontId="9" fillId="0" borderId="3" xfId="0" applyNumberFormat="1" applyFont="1" applyBorder="1" applyAlignment="1">
      <alignment horizontal="center" vertical="center" wrapText="1"/>
    </xf>
    <xf numFmtId="176" fontId="9" fillId="0" borderId="3" xfId="0" applyNumberFormat="1" applyFont="1" applyBorder="1" applyAlignment="1">
      <alignment horizontal="center" vertical="center" wrapText="1"/>
    </xf>
    <xf numFmtId="176" fontId="22" fillId="0" borderId="2" xfId="0" applyNumberFormat="1" applyFont="1" applyBorder="1" applyAlignment="1">
      <alignment horizontal="center" vertical="center"/>
    </xf>
    <xf numFmtId="0" fontId="8" fillId="0" borderId="8" xfId="0" applyFont="1" applyBorder="1" applyAlignment="1">
      <alignment horizontal="center" vertical="center" wrapText="1"/>
    </xf>
    <xf numFmtId="176" fontId="1" fillId="0" borderId="2" xfId="0" applyNumberFormat="1" applyFont="1" applyBorder="1" applyAlignment="1">
      <alignment horizontal="center" vertical="center"/>
    </xf>
    <xf numFmtId="177" fontId="13" fillId="0" borderId="2" xfId="0" applyNumberFormat="1" applyFont="1" applyBorder="1" applyAlignment="1">
      <alignment horizontal="center" vertical="center" wrapText="1"/>
    </xf>
    <xf numFmtId="0" fontId="4" fillId="0" borderId="0" xfId="0" applyFont="1" applyBorder="1">
      <alignment vertical="center"/>
    </xf>
    <xf numFmtId="0" fontId="23" fillId="0" borderId="2" xfId="0" applyFont="1" applyBorder="1" applyAlignment="1">
      <alignment horizontal="center" vertical="center" wrapText="1"/>
    </xf>
    <xf numFmtId="176" fontId="23" fillId="0" borderId="2" xfId="0" applyNumberFormat="1" applyFont="1" applyBorder="1" applyAlignment="1">
      <alignment horizontal="center" vertical="center" wrapText="1"/>
    </xf>
    <xf numFmtId="177" fontId="6" fillId="0" borderId="9" xfId="0" applyNumberFormat="1" applyFont="1" applyBorder="1" applyAlignment="1">
      <alignment horizontal="center" vertical="center" wrapText="1"/>
    </xf>
    <xf numFmtId="177" fontId="6" fillId="0" borderId="1" xfId="0" applyNumberFormat="1" applyFont="1" applyBorder="1" applyAlignment="1">
      <alignment horizontal="center" vertical="center" wrapText="1"/>
    </xf>
    <xf numFmtId="177" fontId="6" fillId="0" borderId="10" xfId="0" applyNumberFormat="1" applyFont="1" applyBorder="1" applyAlignment="1">
      <alignment horizontal="center" vertical="center" wrapText="1"/>
    </xf>
    <xf numFmtId="0" fontId="6" fillId="0" borderId="7" xfId="0" applyFont="1" applyBorder="1" applyAlignment="1">
      <alignment horizontal="center" vertical="center" wrapText="1"/>
    </xf>
    <xf numFmtId="176" fontId="6" fillId="0" borderId="7" xfId="0" applyNumberFormat="1" applyFont="1" applyBorder="1" applyAlignment="1">
      <alignment horizontal="center" vertical="center" wrapText="1"/>
    </xf>
    <xf numFmtId="0" fontId="1" fillId="0" borderId="2" xfId="0" applyFont="1" applyBorder="1" applyAlignment="1">
      <alignment horizontal="center" vertical="center"/>
    </xf>
    <xf numFmtId="0" fontId="11" fillId="0" borderId="6" xfId="0" applyFont="1" applyBorder="1" applyAlignment="1">
      <alignment horizontal="center" vertical="center" wrapText="1"/>
    </xf>
    <xf numFmtId="0" fontId="16" fillId="0" borderId="4" xfId="0" applyFont="1" applyBorder="1" applyAlignment="1">
      <alignment horizontal="center" vertical="center"/>
    </xf>
    <xf numFmtId="0" fontId="16" fillId="0" borderId="5" xfId="0" applyFont="1" applyBorder="1" applyAlignment="1">
      <alignment horizontal="center" vertical="center"/>
    </xf>
    <xf numFmtId="0" fontId="16" fillId="0" borderId="6" xfId="0" applyFont="1" applyBorder="1" applyAlignment="1">
      <alignment horizontal="center" vertical="center"/>
    </xf>
    <xf numFmtId="179" fontId="16" fillId="0" borderId="2" xfId="0" applyNumberFormat="1" applyFont="1" applyBorder="1" applyAlignment="1">
      <alignment horizontal="center" vertical="center"/>
    </xf>
    <xf numFmtId="0" fontId="24" fillId="0" borderId="0" xfId="0" applyFont="1" applyAlignment="1">
      <alignment horizontal="center" vertical="center"/>
    </xf>
    <xf numFmtId="0" fontId="25" fillId="0" borderId="2" xfId="0" applyFont="1" applyBorder="1" applyAlignment="1">
      <alignment horizontal="center" vertical="center" wrapText="1"/>
    </xf>
    <xf numFmtId="0" fontId="26" fillId="0" borderId="2" xfId="0" applyFont="1" applyBorder="1" applyAlignment="1">
      <alignment horizontal="center" vertical="center" wrapText="1"/>
    </xf>
    <xf numFmtId="0" fontId="26" fillId="0" borderId="2" xfId="0" applyFont="1" applyBorder="1" applyAlignment="1">
      <alignment horizontal="left" vertical="center" wrapText="1"/>
    </xf>
    <xf numFmtId="0" fontId="26" fillId="0" borderId="4" xfId="0" applyFont="1" applyBorder="1" applyAlignment="1">
      <alignment horizontal="center" vertical="center" wrapText="1"/>
    </xf>
    <xf numFmtId="0" fontId="26" fillId="0" borderId="6" xfId="0" applyFont="1" applyBorder="1" applyAlignment="1">
      <alignment horizontal="center" vertical="center" wrapText="1"/>
    </xf>
    <xf numFmtId="0" fontId="26" fillId="0" borderId="2" xfId="0" applyFont="1" applyBorder="1" applyAlignment="1">
      <alignment horizontal="justify" vertical="center" wrapText="1"/>
    </xf>
    <xf numFmtId="0" fontId="27" fillId="0" borderId="0" xfId="0" applyFont="1">
      <alignment vertical="center"/>
    </xf>
    <xf numFmtId="0" fontId="2" fillId="0" borderId="0" xfId="0" applyFont="1" applyAlignment="1">
      <alignment horizontal="right" vertical="center"/>
    </xf>
    <xf numFmtId="0" fontId="28" fillId="0" borderId="0" xfId="0" applyFont="1">
      <alignment vertical="center"/>
    </xf>
    <xf numFmtId="0" fontId="0" fillId="0" borderId="0" xfId="0" applyAlignment="1">
      <alignment horizontal="center" vertical="center"/>
    </xf>
    <xf numFmtId="176" fontId="0" fillId="0" borderId="0" xfId="0" applyNumberFormat="1" applyAlignment="1">
      <alignment horizontal="right" vertical="center"/>
    </xf>
    <xf numFmtId="176" fontId="0" fillId="0" borderId="0" xfId="0" applyNumberFormat="1" applyAlignment="1">
      <alignment vertical="center" wrapText="1"/>
    </xf>
    <xf numFmtId="0" fontId="5" fillId="0" borderId="0" xfId="0" applyFont="1" applyAlignment="1">
      <alignment horizontal="center" vertical="center"/>
    </xf>
    <xf numFmtId="177" fontId="29" fillId="0" borderId="2" xfId="0" applyNumberFormat="1" applyFont="1" applyBorder="1" applyAlignment="1">
      <alignment horizontal="center" vertical="center" wrapText="1"/>
    </xf>
    <xf numFmtId="177" fontId="30" fillId="0" borderId="2" xfId="0" applyNumberFormat="1" applyFont="1" applyFill="1" applyBorder="1" applyAlignment="1">
      <alignment horizontal="center" vertical="center" wrapText="1"/>
    </xf>
    <xf numFmtId="176" fontId="30" fillId="0" borderId="2" xfId="0" applyNumberFormat="1" applyFont="1" applyFill="1" applyBorder="1" applyAlignment="1">
      <alignment horizontal="center" vertical="center" wrapText="1"/>
    </xf>
    <xf numFmtId="176" fontId="30" fillId="0" borderId="2" xfId="0" applyNumberFormat="1" applyFont="1" applyFill="1" applyBorder="1" applyAlignment="1">
      <alignment horizontal="right" vertical="center" wrapText="1"/>
    </xf>
    <xf numFmtId="177" fontId="29" fillId="0" borderId="2" xfId="0" applyNumberFormat="1" applyFont="1" applyFill="1" applyBorder="1" applyAlignment="1">
      <alignment horizontal="center" vertical="center" wrapText="1"/>
    </xf>
    <xf numFmtId="0" fontId="3" fillId="0" borderId="2" xfId="0" applyFont="1" applyBorder="1">
      <alignment vertical="center"/>
    </xf>
    <xf numFmtId="176" fontId="3" fillId="0" borderId="2" xfId="0" applyNumberFormat="1" applyFont="1" applyBorder="1" applyAlignment="1">
      <alignment horizontal="center" vertical="center" wrapText="1"/>
    </xf>
    <xf numFmtId="176" fontId="3" fillId="0" borderId="2" xfId="0" applyNumberFormat="1" applyFont="1" applyBorder="1" applyAlignment="1">
      <alignment horizontal="center" vertical="center"/>
    </xf>
    <xf numFmtId="178" fontId="30" fillId="0" borderId="2" xfId="0" applyNumberFormat="1" applyFont="1" applyFill="1" applyBorder="1" applyAlignment="1">
      <alignment horizontal="center" vertical="center" wrapText="1"/>
    </xf>
    <xf numFmtId="0" fontId="31" fillId="0" borderId="2" xfId="0" applyFont="1" applyBorder="1" applyAlignment="1">
      <alignment horizontal="center" vertical="center" wrapText="1"/>
    </xf>
    <xf numFmtId="0" fontId="32" fillId="0" borderId="2" xfId="0" applyFont="1" applyBorder="1" applyAlignment="1">
      <alignment horizontal="center" vertical="center" wrapText="1"/>
    </xf>
    <xf numFmtId="0" fontId="31" fillId="0" borderId="2" xfId="0" applyFont="1" applyBorder="1" applyAlignment="1">
      <alignment horizontal="center" vertical="center"/>
    </xf>
    <xf numFmtId="176" fontId="31" fillId="0" borderId="2" xfId="0" applyNumberFormat="1" applyFont="1" applyBorder="1" applyAlignment="1">
      <alignment horizontal="center" vertical="center"/>
    </xf>
    <xf numFmtId="179" fontId="31" fillId="0" borderId="2" xfId="0" applyNumberFormat="1" applyFont="1" applyBorder="1" applyAlignment="1">
      <alignment horizontal="center" vertical="center"/>
    </xf>
    <xf numFmtId="0" fontId="31" fillId="2" borderId="2" xfId="0" applyFont="1" applyFill="1" applyBorder="1" applyAlignment="1">
      <alignment horizontal="center" vertical="center" wrapText="1"/>
    </xf>
    <xf numFmtId="0" fontId="28" fillId="2" borderId="2" xfId="0" applyFont="1" applyFill="1" applyBorder="1" applyAlignment="1">
      <alignment horizontal="center" vertical="center" wrapText="1"/>
    </xf>
    <xf numFmtId="0" fontId="31" fillId="2" borderId="2" xfId="0" applyFont="1" applyFill="1" applyBorder="1" applyAlignment="1">
      <alignment horizontal="center" vertical="center"/>
    </xf>
    <xf numFmtId="176" fontId="31" fillId="2" borderId="2" xfId="0" applyNumberFormat="1" applyFont="1" applyFill="1" applyBorder="1" applyAlignment="1">
      <alignment horizontal="center" vertical="center"/>
    </xf>
    <xf numFmtId="179" fontId="31" fillId="2" borderId="2" xfId="0" applyNumberFormat="1" applyFont="1" applyFill="1" applyBorder="1" applyAlignment="1">
      <alignment horizontal="center" vertical="center"/>
    </xf>
    <xf numFmtId="0" fontId="28" fillId="0" borderId="2" xfId="0" applyFont="1" applyBorder="1" applyAlignment="1">
      <alignment horizontal="center" vertical="center" wrapText="1"/>
    </xf>
    <xf numFmtId="0" fontId="32" fillId="2" borderId="2" xfId="0" applyFont="1" applyFill="1" applyBorder="1" applyAlignment="1">
      <alignment horizontal="center" vertical="center" wrapText="1"/>
    </xf>
    <xf numFmtId="0" fontId="29" fillId="0" borderId="2" xfId="0" applyFont="1" applyBorder="1" applyAlignment="1">
      <alignment horizontal="center" vertical="center" wrapText="1"/>
    </xf>
    <xf numFmtId="0" fontId="29" fillId="0" borderId="2" xfId="0" applyFont="1" applyBorder="1" applyAlignment="1">
      <alignment horizontal="center" vertical="center"/>
    </xf>
    <xf numFmtId="176" fontId="29" fillId="0" borderId="2" xfId="0" applyNumberFormat="1" applyFont="1" applyBorder="1" applyAlignment="1">
      <alignment horizontal="center" vertical="center"/>
    </xf>
    <xf numFmtId="0" fontId="28" fillId="0" borderId="0" xfId="0" applyFont="1" applyAlignment="1">
      <alignment horizontal="center" vertical="center"/>
    </xf>
    <xf numFmtId="176" fontId="28" fillId="0" borderId="0" xfId="0" applyNumberFormat="1" applyFont="1" applyAlignment="1">
      <alignment horizontal="right" vertical="center"/>
    </xf>
    <xf numFmtId="176" fontId="28" fillId="0" borderId="0" xfId="0" applyNumberFormat="1" applyFont="1" applyAlignment="1">
      <alignment vertical="center" wrapText="1"/>
    </xf>
    <xf numFmtId="0" fontId="32" fillId="0" borderId="0" xfId="0" applyFont="1">
      <alignment vertical="center"/>
    </xf>
    <xf numFmtId="0" fontId="26" fillId="0" borderId="0" xfId="0" applyFont="1" applyBorder="1" applyAlignment="1">
      <alignment vertical="center" wrapText="1"/>
    </xf>
    <xf numFmtId="176" fontId="33" fillId="0" borderId="0" xfId="0" applyNumberFormat="1" applyFont="1" applyAlignment="1">
      <alignment vertical="center" wrapText="1"/>
    </xf>
    <xf numFmtId="0" fontId="0" fillId="0" borderId="0" xfId="0" applyBorder="1" applyAlignment="1">
      <alignment vertical="center"/>
    </xf>
    <xf numFmtId="0" fontId="34" fillId="0" borderId="0" xfId="0" applyFont="1" applyAlignment="1">
      <alignment horizontal="center" vertical="center" wrapText="1"/>
    </xf>
    <xf numFmtId="0" fontId="35" fillId="0" borderId="0" xfId="0" applyFont="1" applyAlignment="1">
      <alignment vertical="center" wrapText="1"/>
    </xf>
    <xf numFmtId="0" fontId="36" fillId="0" borderId="0" xfId="0" applyFont="1" applyAlignment="1">
      <alignment vertical="center" wrapText="1"/>
    </xf>
    <xf numFmtId="0" fontId="34" fillId="0" borderId="0" xfId="0" applyFont="1" applyAlignment="1">
      <alignment vertical="center" wrapText="1"/>
    </xf>
    <xf numFmtId="0" fontId="0" fillId="0" borderId="0" xfId="0" applyAlignment="1">
      <alignment vertical="center" wrapText="1"/>
    </xf>
    <xf numFmtId="0" fontId="37" fillId="0" borderId="0" xfId="0" applyFont="1" applyAlignment="1">
      <alignment horizontal="center" vertical="center"/>
    </xf>
    <xf numFmtId="0" fontId="38" fillId="0" borderId="0" xfId="0" applyFont="1" applyAlignment="1">
      <alignment horizontal="center" vertical="center"/>
    </xf>
    <xf numFmtId="0" fontId="39" fillId="0" borderId="2" xfId="0" applyFont="1" applyBorder="1" applyAlignment="1">
      <alignment horizontal="center" vertical="center" wrapText="1"/>
    </xf>
    <xf numFmtId="0" fontId="40" fillId="0" borderId="2" xfId="0" applyFont="1" applyBorder="1" applyAlignment="1">
      <alignment horizontal="center" vertical="center" wrapText="1"/>
    </xf>
    <xf numFmtId="0" fontId="41" fillId="0" borderId="2" xfId="0" applyFont="1" applyBorder="1" applyAlignment="1">
      <alignment horizontal="center" vertical="center" wrapText="1"/>
    </xf>
    <xf numFmtId="0" fontId="41" fillId="0" borderId="2" xfId="0" applyFont="1" applyBorder="1" applyAlignment="1">
      <alignment vertical="center" wrapText="1"/>
    </xf>
    <xf numFmtId="176" fontId="33" fillId="0" borderId="2" xfId="0" applyNumberFormat="1" applyFont="1" applyBorder="1" applyAlignment="1">
      <alignment horizontal="center" vertical="center" wrapText="1"/>
    </xf>
    <xf numFmtId="0" fontId="40" fillId="2" borderId="2" xfId="0" applyFont="1" applyFill="1" applyBorder="1" applyAlignment="1">
      <alignment horizontal="center" vertical="center" wrapText="1"/>
    </xf>
    <xf numFmtId="0" fontId="33" fillId="2" borderId="2" xfId="0" applyFont="1" applyFill="1" applyBorder="1" applyAlignment="1">
      <alignment horizontal="center" vertical="center" wrapText="1"/>
    </xf>
    <xf numFmtId="0" fontId="33" fillId="2" borderId="2" xfId="0" applyFont="1" applyFill="1" applyBorder="1" applyAlignment="1">
      <alignment vertical="center" wrapText="1"/>
    </xf>
    <xf numFmtId="176" fontId="33" fillId="2" borderId="2" xfId="0" applyNumberFormat="1" applyFont="1" applyFill="1" applyBorder="1" applyAlignment="1">
      <alignment horizontal="center" vertical="center" wrapText="1"/>
    </xf>
    <xf numFmtId="0" fontId="33" fillId="0" borderId="2" xfId="0" applyFont="1" applyBorder="1" applyAlignment="1">
      <alignment vertical="center" wrapText="1"/>
    </xf>
    <xf numFmtId="0" fontId="33" fillId="0" borderId="2" xfId="0" applyFont="1" applyBorder="1" applyAlignment="1">
      <alignment horizontal="center" vertical="center" wrapText="1"/>
    </xf>
    <xf numFmtId="0" fontId="41" fillId="2" borderId="2" xfId="0" applyFont="1" applyFill="1" applyBorder="1" applyAlignment="1">
      <alignment vertical="center" wrapText="1"/>
    </xf>
    <xf numFmtId="0" fontId="41" fillId="2" borderId="2" xfId="0" applyFont="1" applyFill="1" applyBorder="1" applyAlignment="1">
      <alignment horizontal="center" vertical="center" wrapText="1"/>
    </xf>
    <xf numFmtId="0" fontId="39" fillId="0" borderId="4" xfId="0" applyFont="1" applyBorder="1" applyAlignment="1">
      <alignment horizontal="center" vertical="center" wrapText="1"/>
    </xf>
    <xf numFmtId="0" fontId="39" fillId="0" borderId="5" xfId="0" applyFont="1" applyBorder="1" applyAlignment="1">
      <alignment horizontal="center" vertical="center" wrapText="1"/>
    </xf>
    <xf numFmtId="0" fontId="39" fillId="0" borderId="6" xfId="0" applyFont="1" applyBorder="1" applyAlignment="1">
      <alignment horizontal="center" vertical="center" wrapText="1"/>
    </xf>
    <xf numFmtId="176" fontId="39" fillId="0" borderId="2" xfId="0" applyNumberFormat="1" applyFont="1" applyBorder="1" applyAlignment="1">
      <alignment horizontal="center" vertical="center" wrapText="1"/>
    </xf>
    <xf numFmtId="0" fontId="39" fillId="0" borderId="2" xfId="0" applyFont="1" applyBorder="1" applyAlignment="1">
      <alignmen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3"/>
  <sheetViews>
    <sheetView zoomScale="115" zoomScaleNormal="115" workbookViewId="0">
      <pane xSplit="6" ySplit="2" topLeftCell="G7" activePane="bottomRight" state="frozenSplit"/>
      <selection/>
      <selection pane="topRight"/>
      <selection pane="bottomLeft"/>
      <selection pane="bottomRight" activeCell="K5" sqref="K5"/>
    </sheetView>
  </sheetViews>
  <sheetFormatPr defaultColWidth="8.89166666666667" defaultRowHeight="13.5" outlineLevelCol="5"/>
  <cols>
    <col min="1" max="1" width="3.375" style="4" customWidth="1"/>
    <col min="2" max="2" width="7.05833333333333" style="102" customWidth="1"/>
    <col min="3" max="3" width="44.5583333333333" style="141" customWidth="1"/>
    <col min="4" max="4" width="12.4916666666667" style="101" customWidth="1"/>
    <col min="5" max="5" width="14.2666666666667" style="101" customWidth="1"/>
    <col min="6" max="6" width="7.825" customWidth="1"/>
  </cols>
  <sheetData>
    <row r="1" ht="52" customHeight="1" spans="1:6">
      <c r="A1" s="142" t="s">
        <v>0</v>
      </c>
      <c r="B1" s="143"/>
      <c r="C1" s="143"/>
      <c r="D1" s="143"/>
      <c r="E1" s="143"/>
      <c r="F1" s="143"/>
    </row>
    <row r="2" s="137" customFormat="1" ht="45" customHeight="1" spans="1:6">
      <c r="A2" s="144" t="s">
        <v>1</v>
      </c>
      <c r="B2" s="144" t="s">
        <v>2</v>
      </c>
      <c r="C2" s="144" t="s">
        <v>3</v>
      </c>
      <c r="D2" s="144" t="s">
        <v>4</v>
      </c>
      <c r="E2" s="144" t="s">
        <v>5</v>
      </c>
      <c r="F2" s="144" t="s">
        <v>6</v>
      </c>
    </row>
    <row r="3" s="138" customFormat="1" ht="53" customHeight="1" spans="1:6">
      <c r="A3" s="145">
        <v>1</v>
      </c>
      <c r="B3" s="146" t="s">
        <v>7</v>
      </c>
      <c r="C3" s="147" t="s">
        <v>8</v>
      </c>
      <c r="D3" s="148">
        <v>431218.945</v>
      </c>
      <c r="E3" s="148">
        <v>3811233.72</v>
      </c>
      <c r="F3" s="147"/>
    </row>
    <row r="4" s="139" customFormat="1" ht="53" customHeight="1" spans="1:6">
      <c r="A4" s="149">
        <v>2</v>
      </c>
      <c r="B4" s="150" t="s">
        <v>9</v>
      </c>
      <c r="C4" s="151" t="s">
        <v>10</v>
      </c>
      <c r="D4" s="152">
        <v>434351.01</v>
      </c>
      <c r="E4" s="152">
        <v>3744884.325</v>
      </c>
      <c r="F4" s="151"/>
    </row>
    <row r="5" s="139" customFormat="1" ht="53" customHeight="1" spans="1:6">
      <c r="A5" s="145">
        <v>3</v>
      </c>
      <c r="B5" s="146" t="s">
        <v>11</v>
      </c>
      <c r="C5" s="147" t="s">
        <v>12</v>
      </c>
      <c r="D5" s="148">
        <v>413856.08</v>
      </c>
      <c r="E5" s="148">
        <v>3693002.765</v>
      </c>
      <c r="F5" s="153"/>
    </row>
    <row r="6" s="139" customFormat="1" ht="53" customHeight="1" spans="1:6">
      <c r="A6" s="149">
        <v>4</v>
      </c>
      <c r="B6" s="150" t="s">
        <v>13</v>
      </c>
      <c r="C6" s="151" t="s">
        <v>14</v>
      </c>
      <c r="D6" s="152">
        <v>351801.19</v>
      </c>
      <c r="E6" s="152">
        <v>3563679.428</v>
      </c>
      <c r="F6" s="151"/>
    </row>
    <row r="7" s="139" customFormat="1" ht="53" customHeight="1" spans="1:6">
      <c r="A7" s="145">
        <v>5</v>
      </c>
      <c r="B7" s="154" t="s">
        <v>15</v>
      </c>
      <c r="C7" s="153" t="s">
        <v>16</v>
      </c>
      <c r="D7" s="148">
        <v>385821.94</v>
      </c>
      <c r="E7" s="148">
        <v>3495533.62</v>
      </c>
      <c r="F7" s="153"/>
    </row>
    <row r="8" s="139" customFormat="1" ht="53" customHeight="1" spans="1:6">
      <c r="A8" s="149">
        <v>6</v>
      </c>
      <c r="B8" s="150" t="s">
        <v>17</v>
      </c>
      <c r="C8" s="151" t="s">
        <v>18</v>
      </c>
      <c r="D8" s="152">
        <v>371117.64</v>
      </c>
      <c r="E8" s="152">
        <v>3366976.31</v>
      </c>
      <c r="F8" s="151"/>
    </row>
    <row r="9" s="139" customFormat="1" ht="62" customHeight="1" spans="1:6">
      <c r="A9" s="145">
        <v>7</v>
      </c>
      <c r="B9" s="154" t="s">
        <v>19</v>
      </c>
      <c r="C9" s="153" t="s">
        <v>20</v>
      </c>
      <c r="D9" s="148">
        <v>365391.59</v>
      </c>
      <c r="E9" s="148">
        <v>3295716.1</v>
      </c>
      <c r="F9" s="153"/>
    </row>
    <row r="10" s="138" customFormat="1" ht="53" customHeight="1" spans="1:6">
      <c r="A10" s="149">
        <v>8</v>
      </c>
      <c r="B10" s="150" t="s">
        <v>21</v>
      </c>
      <c r="C10" s="151" t="s">
        <v>22</v>
      </c>
      <c r="D10" s="152">
        <v>356424.37</v>
      </c>
      <c r="E10" s="152">
        <v>3289471.2</v>
      </c>
      <c r="F10" s="155"/>
    </row>
    <row r="11" s="139" customFormat="1" ht="71" customHeight="1" spans="1:6">
      <c r="A11" s="145">
        <v>9</v>
      </c>
      <c r="B11" s="154" t="s">
        <v>23</v>
      </c>
      <c r="C11" s="153" t="s">
        <v>24</v>
      </c>
      <c r="D11" s="148">
        <v>380436.91</v>
      </c>
      <c r="E11" s="148">
        <v>3214170.155</v>
      </c>
      <c r="F11" s="153"/>
    </row>
    <row r="12" s="138" customFormat="1" ht="53" customHeight="1" spans="1:6">
      <c r="A12" s="149">
        <v>10</v>
      </c>
      <c r="B12" s="156" t="s">
        <v>25</v>
      </c>
      <c r="C12" s="155" t="s">
        <v>26</v>
      </c>
      <c r="D12" s="152">
        <v>396683.62</v>
      </c>
      <c r="E12" s="152">
        <v>3148997.495</v>
      </c>
      <c r="F12" s="155"/>
    </row>
    <row r="13" s="140" customFormat="1" ht="22" customHeight="1" spans="1:6">
      <c r="A13" s="157" t="s">
        <v>27</v>
      </c>
      <c r="B13" s="158"/>
      <c r="C13" s="159"/>
      <c r="D13" s="160">
        <f>SUM(D3:D12)</f>
        <v>3887103.295</v>
      </c>
      <c r="E13" s="160">
        <f>SUM(E3:E12)</f>
        <v>34623665.118</v>
      </c>
      <c r="F13" s="161"/>
    </row>
  </sheetData>
  <mergeCells count="2">
    <mergeCell ref="A1:F1"/>
    <mergeCell ref="A13:C13"/>
  </mergeCells>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35"/>
  <sheetViews>
    <sheetView zoomScale="130" zoomScaleNormal="130" workbookViewId="0">
      <selection activeCell="W4" sqref="W4:W13"/>
    </sheetView>
  </sheetViews>
  <sheetFormatPr defaultColWidth="8.89166666666667" defaultRowHeight="13.5"/>
  <cols>
    <col min="1" max="1" width="2.69166666666667" style="102" customWidth="1"/>
    <col min="2" max="2" width="4.9" customWidth="1"/>
    <col min="3" max="3" width="5.09166666666667" customWidth="1"/>
    <col min="4" max="4" width="5.56666666666667" customWidth="1"/>
    <col min="5" max="5" width="10.2833333333333" customWidth="1"/>
    <col min="6" max="6" width="9.9" style="103" customWidth="1"/>
    <col min="7" max="7" width="7.88333333333333" customWidth="1"/>
    <col min="8" max="8" width="7.775" customWidth="1"/>
    <col min="9" max="9" width="9.325" customWidth="1"/>
    <col min="10" max="10" width="9.13333333333333" customWidth="1"/>
    <col min="11" max="11" width="8.65" customWidth="1"/>
    <col min="12" max="12" width="7.3" customWidth="1"/>
    <col min="13" max="13" width="6.825" customWidth="1"/>
    <col min="14" max="14" width="7.59166666666667" customWidth="1"/>
    <col min="15" max="15" width="7.49166666666667" customWidth="1"/>
    <col min="16" max="16" width="7.4" customWidth="1"/>
    <col min="17" max="17" width="6.44166666666667" customWidth="1"/>
    <col min="18" max="18" width="9.31666666666667" customWidth="1"/>
    <col min="19" max="19" width="5" customWidth="1"/>
    <col min="20" max="20" width="5.55833333333333" customWidth="1"/>
    <col min="21" max="21" width="6.05833333333333" customWidth="1"/>
    <col min="22" max="22" width="11.525" style="104" customWidth="1"/>
    <col min="23" max="23" width="11.15" customWidth="1"/>
  </cols>
  <sheetData>
    <row r="1" ht="50" customHeight="1" spans="1:23">
      <c r="A1" s="105" t="s">
        <v>28</v>
      </c>
      <c r="B1" s="105"/>
      <c r="C1" s="105"/>
      <c r="D1" s="105"/>
      <c r="E1" s="105"/>
      <c r="F1" s="105"/>
      <c r="G1" s="105"/>
      <c r="H1" s="105"/>
      <c r="I1" s="105"/>
      <c r="J1" s="105"/>
      <c r="K1" s="105"/>
      <c r="L1" s="105"/>
      <c r="M1" s="105"/>
      <c r="N1" s="105"/>
      <c r="O1" s="105"/>
      <c r="P1" s="105"/>
      <c r="Q1" s="105"/>
      <c r="R1" s="105"/>
      <c r="S1" s="105"/>
      <c r="T1" s="105"/>
      <c r="U1" s="105"/>
      <c r="V1" s="105"/>
      <c r="W1" s="105"/>
    </row>
    <row r="2" s="3" customFormat="1" ht="29" customHeight="1" spans="1:23">
      <c r="A2" s="106" t="s">
        <v>29</v>
      </c>
      <c r="B2" s="106" t="s">
        <v>2</v>
      </c>
      <c r="C2" s="107" t="s">
        <v>30</v>
      </c>
      <c r="D2" s="107" t="s">
        <v>31</v>
      </c>
      <c r="E2" s="108" t="s">
        <v>32</v>
      </c>
      <c r="F2" s="109"/>
      <c r="G2" s="110" t="s">
        <v>33</v>
      </c>
      <c r="H2" s="107" t="s">
        <v>34</v>
      </c>
      <c r="I2" s="107" t="s">
        <v>35</v>
      </c>
      <c r="J2" s="108" t="s">
        <v>36</v>
      </c>
      <c r="K2" s="107" t="s">
        <v>37</v>
      </c>
      <c r="L2" s="107"/>
      <c r="M2" s="107" t="s">
        <v>38</v>
      </c>
      <c r="N2" s="107" t="s">
        <v>39</v>
      </c>
      <c r="O2" s="107" t="s">
        <v>40</v>
      </c>
      <c r="P2" s="107" t="s">
        <v>41</v>
      </c>
      <c r="Q2" s="107" t="s">
        <v>42</v>
      </c>
      <c r="R2" s="107" t="s">
        <v>43</v>
      </c>
      <c r="S2" s="111" t="s">
        <v>44</v>
      </c>
      <c r="T2" s="111" t="s">
        <v>45</v>
      </c>
      <c r="U2" s="107" t="s">
        <v>46</v>
      </c>
      <c r="V2" s="112" t="s">
        <v>47</v>
      </c>
      <c r="W2" s="113" t="s">
        <v>48</v>
      </c>
    </row>
    <row r="3" s="3" customFormat="1" ht="32" customHeight="1" spans="1:23">
      <c r="A3" s="106"/>
      <c r="B3" s="106"/>
      <c r="C3" s="107" t="s">
        <v>49</v>
      </c>
      <c r="D3" s="107" t="s">
        <v>49</v>
      </c>
      <c r="E3" s="108" t="s">
        <v>50</v>
      </c>
      <c r="F3" s="109" t="s">
        <v>51</v>
      </c>
      <c r="G3" s="110" t="s">
        <v>52</v>
      </c>
      <c r="H3" s="114" t="s">
        <v>52</v>
      </c>
      <c r="I3" s="107" t="s">
        <v>52</v>
      </c>
      <c r="J3" s="108" t="s">
        <v>52</v>
      </c>
      <c r="K3" s="107" t="s">
        <v>53</v>
      </c>
      <c r="L3" s="107" t="s">
        <v>54</v>
      </c>
      <c r="M3" s="107" t="s">
        <v>52</v>
      </c>
      <c r="N3" s="107" t="s">
        <v>52</v>
      </c>
      <c r="O3" s="107" t="s">
        <v>52</v>
      </c>
      <c r="P3" s="107" t="s">
        <v>55</v>
      </c>
      <c r="Q3" s="107" t="s">
        <v>56</v>
      </c>
      <c r="R3" s="114" t="s">
        <v>52</v>
      </c>
      <c r="S3" s="114" t="s">
        <v>52</v>
      </c>
      <c r="T3" s="114" t="s">
        <v>52</v>
      </c>
      <c r="U3" s="114" t="s">
        <v>57</v>
      </c>
      <c r="V3" s="112"/>
      <c r="W3" s="114" t="s">
        <v>58</v>
      </c>
    </row>
    <row r="4" ht="14.4" customHeight="1" spans="1:23">
      <c r="A4" s="115">
        <v>1</v>
      </c>
      <c r="B4" s="116" t="s">
        <v>7</v>
      </c>
      <c r="C4" s="117">
        <v>9301</v>
      </c>
      <c r="D4" s="117">
        <v>20242</v>
      </c>
      <c r="E4" s="118">
        <v>418014.885</v>
      </c>
      <c r="F4" s="118">
        <v>121958.33</v>
      </c>
      <c r="G4" s="118">
        <v>0</v>
      </c>
      <c r="H4" s="118">
        <v>0</v>
      </c>
      <c r="I4" s="118">
        <v>12650.06</v>
      </c>
      <c r="J4" s="118">
        <v>0</v>
      </c>
      <c r="K4" s="118">
        <v>15317.1</v>
      </c>
      <c r="L4" s="118">
        <v>0</v>
      </c>
      <c r="M4" s="118">
        <v>414</v>
      </c>
      <c r="N4" s="118">
        <v>140</v>
      </c>
      <c r="O4" s="118">
        <v>0</v>
      </c>
      <c r="P4" s="118">
        <v>117.6</v>
      </c>
      <c r="Q4" s="119">
        <v>25</v>
      </c>
      <c r="R4" s="118">
        <v>0</v>
      </c>
      <c r="S4" s="117">
        <v>3300</v>
      </c>
      <c r="T4" s="117">
        <v>3300</v>
      </c>
      <c r="U4" s="117">
        <v>35000</v>
      </c>
      <c r="V4" s="118">
        <f t="shared" ref="V4:V13" si="0">E4+G4+I4+J4+M4+N4+O4+H4</f>
        <v>431218.945</v>
      </c>
      <c r="W4" s="118">
        <f>C4*30+D4*30+E4*5+F4*1.5+G4*150+I4*12+J4*0.5+K4*6+L4*7+M4*225.4+N4*48.5+O4*28.7+P4*13.8+Q4*300+R4*2+H4*78+S4*27+T4*53+U4</f>
        <v>3811233.72</v>
      </c>
    </row>
    <row r="5" ht="15.9" customHeight="1" spans="1:23">
      <c r="A5" s="120">
        <v>2</v>
      </c>
      <c r="B5" s="121" t="s">
        <v>9</v>
      </c>
      <c r="C5" s="122">
        <v>4428</v>
      </c>
      <c r="D5" s="122">
        <v>16117</v>
      </c>
      <c r="E5" s="123">
        <v>413543.74</v>
      </c>
      <c r="F5" s="123">
        <v>256403.99</v>
      </c>
      <c r="G5" s="123">
        <v>0</v>
      </c>
      <c r="H5" s="123">
        <v>0</v>
      </c>
      <c r="I5" s="123">
        <v>18515.27</v>
      </c>
      <c r="J5" s="123">
        <v>0</v>
      </c>
      <c r="K5" s="123">
        <v>7603.5</v>
      </c>
      <c r="L5" s="123">
        <v>2662</v>
      </c>
      <c r="M5" s="123">
        <v>32</v>
      </c>
      <c r="N5" s="123">
        <v>462</v>
      </c>
      <c r="O5" s="123">
        <v>1798</v>
      </c>
      <c r="P5" s="123">
        <v>105</v>
      </c>
      <c r="Q5" s="124">
        <v>77</v>
      </c>
      <c r="R5" s="123">
        <v>0</v>
      </c>
      <c r="S5" s="122">
        <v>3300</v>
      </c>
      <c r="T5" s="122">
        <v>3300</v>
      </c>
      <c r="U5" s="122">
        <v>20000</v>
      </c>
      <c r="V5" s="123">
        <f t="shared" si="0"/>
        <v>434351.01</v>
      </c>
      <c r="W5" s="123">
        <f t="shared" ref="W5:W13" si="1">C5*30+D5*30+E5*5+F5*1.5+G5*150+I5*12+J5*0.5+K5*6+L5*7+M5*225.4+N5*48.5+O5*28.7+P5*13.8+Q5*300+R5*2+H5*78+S5*27+T5*53+U5</f>
        <v>3744884.325</v>
      </c>
    </row>
    <row r="6" s="99" customFormat="1" ht="15.9" customHeight="1" spans="1:23">
      <c r="A6" s="115">
        <v>3</v>
      </c>
      <c r="B6" s="116" t="s">
        <v>11</v>
      </c>
      <c r="C6" s="117">
        <v>6086</v>
      </c>
      <c r="D6" s="117">
        <v>18916</v>
      </c>
      <c r="E6" s="118">
        <v>381061.08</v>
      </c>
      <c r="F6" s="118">
        <v>224095.91</v>
      </c>
      <c r="G6" s="118">
        <v>0</v>
      </c>
      <c r="H6" s="118">
        <v>0</v>
      </c>
      <c r="I6" s="118">
        <v>23770</v>
      </c>
      <c r="J6" s="118">
        <v>8955</v>
      </c>
      <c r="K6" s="118">
        <v>16481.1</v>
      </c>
      <c r="L6" s="118">
        <v>0</v>
      </c>
      <c r="M6" s="118">
        <v>0</v>
      </c>
      <c r="N6" s="118">
        <v>70</v>
      </c>
      <c r="O6" s="118">
        <v>0</v>
      </c>
      <c r="P6" s="118">
        <v>688</v>
      </c>
      <c r="Q6" s="119">
        <v>20</v>
      </c>
      <c r="R6" s="118">
        <v>0</v>
      </c>
      <c r="S6" s="117">
        <v>3300</v>
      </c>
      <c r="T6" s="117">
        <v>3300</v>
      </c>
      <c r="U6" s="117">
        <v>30000</v>
      </c>
      <c r="V6" s="118">
        <f t="shared" si="0"/>
        <v>413856.08</v>
      </c>
      <c r="W6" s="118">
        <f t="shared" si="1"/>
        <v>3693002.765</v>
      </c>
    </row>
    <row r="7" spans="1:23">
      <c r="A7" s="120">
        <v>4</v>
      </c>
      <c r="B7" s="121" t="s">
        <v>13</v>
      </c>
      <c r="C7" s="122">
        <v>6398</v>
      </c>
      <c r="D7" s="122">
        <v>18003</v>
      </c>
      <c r="E7" s="123">
        <v>325477.45</v>
      </c>
      <c r="F7" s="123">
        <v>206081.5</v>
      </c>
      <c r="G7" s="123">
        <v>1822</v>
      </c>
      <c r="H7" s="123">
        <v>0</v>
      </c>
      <c r="I7" s="123">
        <v>24304.3</v>
      </c>
      <c r="J7" s="123">
        <v>0</v>
      </c>
      <c r="K7" s="123">
        <v>5912.5</v>
      </c>
      <c r="L7" s="123">
        <v>454</v>
      </c>
      <c r="M7" s="123">
        <v>0</v>
      </c>
      <c r="N7" s="123">
        <v>140</v>
      </c>
      <c r="O7" s="123">
        <v>57.44</v>
      </c>
      <c r="P7" s="123">
        <v>36</v>
      </c>
      <c r="Q7" s="124">
        <v>12</v>
      </c>
      <c r="R7" s="123">
        <v>0</v>
      </c>
      <c r="S7" s="122">
        <v>3300</v>
      </c>
      <c r="T7" s="122">
        <v>3300</v>
      </c>
      <c r="U7" s="122">
        <v>15000</v>
      </c>
      <c r="V7" s="123">
        <f t="shared" si="0"/>
        <v>351801.19</v>
      </c>
      <c r="W7" s="123">
        <f t="shared" si="1"/>
        <v>3563679.428</v>
      </c>
    </row>
    <row r="8" s="2" customFormat="1" ht="14.4" customHeight="1" spans="1:23">
      <c r="A8" s="115">
        <v>5</v>
      </c>
      <c r="B8" s="125" t="s">
        <v>15</v>
      </c>
      <c r="C8" s="117">
        <v>3649</v>
      </c>
      <c r="D8" s="117">
        <v>15693</v>
      </c>
      <c r="E8" s="118">
        <v>371956.14</v>
      </c>
      <c r="F8" s="118">
        <v>109905.64</v>
      </c>
      <c r="G8" s="118">
        <v>729.6</v>
      </c>
      <c r="H8" s="118">
        <v>5098.2</v>
      </c>
      <c r="I8" s="118">
        <v>5191</v>
      </c>
      <c r="J8" s="118">
        <v>2700</v>
      </c>
      <c r="K8" s="118">
        <v>3791.35</v>
      </c>
      <c r="L8" s="118">
        <v>0</v>
      </c>
      <c r="M8" s="118">
        <v>75</v>
      </c>
      <c r="N8" s="118">
        <v>72</v>
      </c>
      <c r="O8" s="118">
        <v>0</v>
      </c>
      <c r="P8" s="118">
        <v>25.2</v>
      </c>
      <c r="Q8" s="119">
        <v>8</v>
      </c>
      <c r="R8" s="118">
        <v>0</v>
      </c>
      <c r="S8" s="117">
        <v>3300</v>
      </c>
      <c r="T8" s="117">
        <v>3300</v>
      </c>
      <c r="U8" s="117">
        <v>10000</v>
      </c>
      <c r="V8" s="118">
        <f t="shared" si="0"/>
        <v>385821.94</v>
      </c>
      <c r="W8" s="118">
        <f t="shared" si="1"/>
        <v>3495533.62</v>
      </c>
    </row>
    <row r="9" s="99" customFormat="1" spans="1:23">
      <c r="A9" s="120">
        <v>6</v>
      </c>
      <c r="B9" s="121" t="s">
        <v>17</v>
      </c>
      <c r="C9" s="122">
        <v>4873</v>
      </c>
      <c r="D9" s="122">
        <v>13515</v>
      </c>
      <c r="E9" s="123">
        <v>285107.64</v>
      </c>
      <c r="F9" s="123">
        <v>171709.9</v>
      </c>
      <c r="G9" s="123">
        <v>433</v>
      </c>
      <c r="H9" s="123">
        <v>0</v>
      </c>
      <c r="I9" s="123">
        <v>29112</v>
      </c>
      <c r="J9" s="123">
        <v>55312</v>
      </c>
      <c r="K9" s="123">
        <v>12781.7</v>
      </c>
      <c r="L9" s="123">
        <v>0</v>
      </c>
      <c r="M9" s="123">
        <v>32</v>
      </c>
      <c r="N9" s="123">
        <v>100</v>
      </c>
      <c r="O9" s="123">
        <v>1021</v>
      </c>
      <c r="P9" s="123">
        <v>49.2</v>
      </c>
      <c r="Q9" s="124">
        <v>32</v>
      </c>
      <c r="R9" s="123">
        <v>136474.3</v>
      </c>
      <c r="S9" s="122">
        <v>3300</v>
      </c>
      <c r="T9" s="122">
        <v>3300</v>
      </c>
      <c r="U9" s="122">
        <v>25000</v>
      </c>
      <c r="V9" s="123">
        <f t="shared" si="0"/>
        <v>371117.64</v>
      </c>
      <c r="W9" s="123">
        <f t="shared" si="1"/>
        <v>3366976.31</v>
      </c>
    </row>
    <row r="10" s="100" customFormat="1" spans="1:23">
      <c r="A10" s="115">
        <v>7</v>
      </c>
      <c r="B10" s="125" t="s">
        <v>19</v>
      </c>
      <c r="C10" s="115">
        <v>4515</v>
      </c>
      <c r="D10" s="115">
        <v>12905</v>
      </c>
      <c r="E10" s="118">
        <v>338082.84</v>
      </c>
      <c r="F10" s="118">
        <v>168901.92</v>
      </c>
      <c r="G10" s="118">
        <v>875</v>
      </c>
      <c r="H10" s="118">
        <v>0</v>
      </c>
      <c r="I10" s="118">
        <v>23968.55</v>
      </c>
      <c r="J10" s="118">
        <v>1803</v>
      </c>
      <c r="K10" s="118">
        <v>10807.5</v>
      </c>
      <c r="L10" s="118">
        <v>946</v>
      </c>
      <c r="M10" s="118">
        <v>48</v>
      </c>
      <c r="N10" s="118">
        <v>279</v>
      </c>
      <c r="O10" s="118">
        <v>335.2</v>
      </c>
      <c r="P10" s="118">
        <v>162.1</v>
      </c>
      <c r="Q10" s="119">
        <v>43</v>
      </c>
      <c r="R10" s="118">
        <v>0</v>
      </c>
      <c r="S10" s="117">
        <v>3300</v>
      </c>
      <c r="T10" s="117">
        <v>3300</v>
      </c>
      <c r="U10" s="117">
        <v>25000</v>
      </c>
      <c r="V10" s="118">
        <f t="shared" si="0"/>
        <v>365391.59</v>
      </c>
      <c r="W10" s="118">
        <f t="shared" si="1"/>
        <v>3295716.1</v>
      </c>
    </row>
    <row r="11" ht="14.4" customHeight="1" spans="1:23">
      <c r="A11" s="120">
        <v>8</v>
      </c>
      <c r="B11" s="121" t="s">
        <v>21</v>
      </c>
      <c r="C11" s="122">
        <v>2023</v>
      </c>
      <c r="D11" s="122">
        <v>20995</v>
      </c>
      <c r="E11" s="123">
        <v>346460.87</v>
      </c>
      <c r="F11" s="123">
        <v>140935.1</v>
      </c>
      <c r="G11" s="123">
        <v>710.5</v>
      </c>
      <c r="H11" s="123">
        <v>2268</v>
      </c>
      <c r="I11" s="123">
        <v>6985</v>
      </c>
      <c r="J11" s="123">
        <v>0</v>
      </c>
      <c r="K11" s="123">
        <v>2371.4</v>
      </c>
      <c r="L11" s="123">
        <v>0</v>
      </c>
      <c r="M11" s="123">
        <v>0</v>
      </c>
      <c r="N11" s="123">
        <v>0</v>
      </c>
      <c r="O11" s="123">
        <v>0</v>
      </c>
      <c r="P11" s="123">
        <v>36</v>
      </c>
      <c r="Q11" s="124">
        <v>14</v>
      </c>
      <c r="R11" s="123">
        <v>0</v>
      </c>
      <c r="S11" s="122">
        <v>3300</v>
      </c>
      <c r="T11" s="122">
        <v>3300</v>
      </c>
      <c r="U11" s="122">
        <v>5000</v>
      </c>
      <c r="V11" s="123">
        <f t="shared" si="0"/>
        <v>356424.37</v>
      </c>
      <c r="W11" s="123">
        <f t="shared" si="1"/>
        <v>3289471.2</v>
      </c>
    </row>
    <row r="12" ht="14.4" customHeight="1" spans="1:23">
      <c r="A12" s="115">
        <v>9</v>
      </c>
      <c r="B12" s="125" t="s">
        <v>23</v>
      </c>
      <c r="C12" s="117">
        <v>3463</v>
      </c>
      <c r="D12" s="117">
        <v>11217</v>
      </c>
      <c r="E12" s="118">
        <v>303823.28</v>
      </c>
      <c r="F12" s="118">
        <v>280273</v>
      </c>
      <c r="G12" s="118">
        <v>0</v>
      </c>
      <c r="H12" s="118">
        <v>0</v>
      </c>
      <c r="I12" s="118">
        <v>21882</v>
      </c>
      <c r="J12" s="118">
        <v>54162</v>
      </c>
      <c r="K12" s="118">
        <v>1184.1</v>
      </c>
      <c r="L12" s="118">
        <v>0</v>
      </c>
      <c r="M12" s="118">
        <v>88</v>
      </c>
      <c r="N12" s="118">
        <v>95.33</v>
      </c>
      <c r="O12" s="118">
        <v>386.3</v>
      </c>
      <c r="P12" s="118">
        <v>155.3</v>
      </c>
      <c r="Q12" s="119">
        <v>71</v>
      </c>
      <c r="R12" s="118">
        <v>104743</v>
      </c>
      <c r="S12" s="117">
        <v>3300</v>
      </c>
      <c r="T12" s="117">
        <v>3300</v>
      </c>
      <c r="U12" s="117">
        <v>5000</v>
      </c>
      <c r="V12" s="118">
        <f t="shared" si="0"/>
        <v>380436.91</v>
      </c>
      <c r="W12" s="118">
        <f t="shared" si="1"/>
        <v>3214170.155</v>
      </c>
    </row>
    <row r="13" ht="14.4" customHeight="1" spans="1:23">
      <c r="A13" s="120">
        <v>10</v>
      </c>
      <c r="B13" s="126" t="s">
        <v>25</v>
      </c>
      <c r="C13" s="122">
        <v>2656</v>
      </c>
      <c r="D13" s="122">
        <v>19862</v>
      </c>
      <c r="E13" s="123">
        <v>338842.62</v>
      </c>
      <c r="F13" s="123">
        <v>81394.41</v>
      </c>
      <c r="G13" s="123">
        <v>292</v>
      </c>
      <c r="H13" s="123">
        <v>0</v>
      </c>
      <c r="I13" s="123">
        <v>15714.6</v>
      </c>
      <c r="J13" s="123">
        <v>41000</v>
      </c>
      <c r="K13" s="123">
        <v>4334.6</v>
      </c>
      <c r="L13" s="123">
        <v>0</v>
      </c>
      <c r="M13" s="123">
        <v>289.4</v>
      </c>
      <c r="N13" s="123">
        <v>545</v>
      </c>
      <c r="O13" s="123">
        <v>0</v>
      </c>
      <c r="P13" s="123">
        <v>174.4</v>
      </c>
      <c r="Q13" s="124">
        <v>34</v>
      </c>
      <c r="R13" s="123">
        <v>0</v>
      </c>
      <c r="S13" s="122">
        <v>3300</v>
      </c>
      <c r="T13" s="122">
        <v>3300</v>
      </c>
      <c r="U13" s="122">
        <v>10000</v>
      </c>
      <c r="V13" s="123">
        <f t="shared" si="0"/>
        <v>396683.62</v>
      </c>
      <c r="W13" s="123">
        <f t="shared" si="1"/>
        <v>3148997.495</v>
      </c>
    </row>
    <row r="14" ht="15.9" customHeight="1" spans="1:23">
      <c r="A14" s="127" t="s">
        <v>59</v>
      </c>
      <c r="B14" s="127"/>
      <c r="C14" s="128">
        <f>SUM(C4:C13)</f>
        <v>47392</v>
      </c>
      <c r="D14" s="128">
        <f t="shared" ref="D14:X14" si="2">SUM(D4:D13)</f>
        <v>167465</v>
      </c>
      <c r="E14" s="129">
        <f t="shared" si="2"/>
        <v>3522370.545</v>
      </c>
      <c r="F14" s="129">
        <f t="shared" si="2"/>
        <v>1761659.7</v>
      </c>
      <c r="G14" s="129">
        <f t="shared" si="2"/>
        <v>4862.1</v>
      </c>
      <c r="H14" s="129">
        <f t="shared" si="2"/>
        <v>7366.2</v>
      </c>
      <c r="I14" s="129">
        <f t="shared" si="2"/>
        <v>182092.78</v>
      </c>
      <c r="J14" s="129">
        <f t="shared" si="2"/>
        <v>163932</v>
      </c>
      <c r="K14" s="129">
        <f t="shared" si="2"/>
        <v>80584.85</v>
      </c>
      <c r="L14" s="129">
        <f t="shared" si="2"/>
        <v>4062</v>
      </c>
      <c r="M14" s="129">
        <f t="shared" si="2"/>
        <v>978.4</v>
      </c>
      <c r="N14" s="129">
        <f t="shared" si="2"/>
        <v>1903.33</v>
      </c>
      <c r="O14" s="129">
        <f t="shared" si="2"/>
        <v>3597.94</v>
      </c>
      <c r="P14" s="129">
        <f t="shared" si="2"/>
        <v>1548.8</v>
      </c>
      <c r="Q14" s="128">
        <f t="shared" si="2"/>
        <v>336</v>
      </c>
      <c r="R14" s="129">
        <f t="shared" si="2"/>
        <v>241217.3</v>
      </c>
      <c r="S14" s="128">
        <f t="shared" si="2"/>
        <v>33000</v>
      </c>
      <c r="T14" s="128">
        <f t="shared" si="2"/>
        <v>33000</v>
      </c>
      <c r="U14" s="128">
        <f t="shared" si="2"/>
        <v>180000</v>
      </c>
      <c r="V14" s="129">
        <f t="shared" si="2"/>
        <v>3887103.295</v>
      </c>
      <c r="W14" s="129">
        <f t="shared" si="2"/>
        <v>34623665.118</v>
      </c>
    </row>
    <row r="15" s="101" customFormat="1" ht="10.5" spans="1:23">
      <c r="A15" s="130"/>
      <c r="F15" s="131"/>
      <c r="V15" s="132"/>
    </row>
    <row r="16" s="101" customFormat="1" ht="10.5" spans="1:23">
      <c r="A16" s="130" t="s">
        <v>60</v>
      </c>
      <c r="C16" s="101">
        <v>30</v>
      </c>
      <c r="D16" s="101">
        <v>30</v>
      </c>
      <c r="E16" s="101">
        <v>5</v>
      </c>
      <c r="F16" s="131">
        <v>1.5</v>
      </c>
      <c r="G16" s="101">
        <v>150</v>
      </c>
      <c r="H16" s="133">
        <v>78</v>
      </c>
      <c r="I16" s="101">
        <v>12</v>
      </c>
      <c r="J16" s="101">
        <v>0.5</v>
      </c>
      <c r="K16" s="101">
        <v>6</v>
      </c>
      <c r="L16" s="101">
        <v>7</v>
      </c>
      <c r="M16" s="101">
        <v>225.4</v>
      </c>
      <c r="N16" s="101">
        <v>48.5</v>
      </c>
      <c r="O16" s="101">
        <v>28.7</v>
      </c>
      <c r="P16" s="101">
        <v>13.8</v>
      </c>
      <c r="Q16" s="101">
        <v>300</v>
      </c>
      <c r="R16" s="101">
        <v>2</v>
      </c>
      <c r="S16" s="101">
        <v>27</v>
      </c>
      <c r="T16" s="101">
        <v>53</v>
      </c>
      <c r="V16" s="132"/>
    </row>
    <row r="18" ht="14.25" spans="2:22">
      <c r="B18" s="134"/>
      <c r="C18" s="134"/>
      <c r="D18" s="134"/>
    </row>
    <row r="19" ht="14.25" spans="2:22">
      <c r="B19" s="134"/>
      <c r="C19" s="134"/>
      <c r="D19" s="134"/>
      <c r="V19" s="135"/>
    </row>
    <row r="20" ht="14.25" spans="2:22">
      <c r="B20" s="134"/>
      <c r="C20" s="134"/>
      <c r="D20" s="134"/>
    </row>
    <row r="21" ht="14.25" spans="2:22">
      <c r="B21" s="134"/>
      <c r="C21" s="134"/>
      <c r="D21" s="134"/>
    </row>
    <row r="22" ht="14.25" spans="2:22">
      <c r="B22" s="134"/>
      <c r="C22" s="134"/>
      <c r="D22" s="134"/>
    </row>
    <row r="23" ht="14.25" spans="2:22">
      <c r="B23" s="134"/>
      <c r="C23" s="134"/>
      <c r="D23" s="134"/>
    </row>
    <row r="24" ht="14.25" spans="2:22">
      <c r="B24" s="134"/>
      <c r="C24" s="134"/>
      <c r="D24" s="134"/>
    </row>
    <row r="25" ht="14.25" spans="2:22">
      <c r="B25" s="134"/>
      <c r="C25" s="134"/>
      <c r="D25" s="134"/>
    </row>
    <row r="26" ht="14.25" spans="2:22">
      <c r="B26" s="134"/>
      <c r="C26" s="134"/>
      <c r="D26" s="134"/>
    </row>
    <row r="27" ht="14.25" spans="2:22">
      <c r="B27" s="134"/>
      <c r="C27" s="134"/>
      <c r="D27" s="134"/>
    </row>
    <row r="28" ht="14.25" spans="2:22">
      <c r="B28" s="134"/>
      <c r="C28" s="134"/>
      <c r="D28" s="134"/>
    </row>
    <row r="29" ht="14.25" spans="2:22">
      <c r="B29" s="134"/>
      <c r="C29" s="134"/>
      <c r="D29" s="134"/>
    </row>
    <row r="30" ht="14.25" spans="2:22">
      <c r="B30" s="134"/>
      <c r="C30" s="134"/>
      <c r="D30" s="134"/>
    </row>
    <row r="31" ht="14.25" spans="2:22">
      <c r="B31" s="134"/>
      <c r="C31" s="134"/>
      <c r="D31" s="134"/>
    </row>
    <row r="32" ht="14.25" spans="2:22">
      <c r="B32" s="134"/>
      <c r="C32" s="134"/>
      <c r="D32" s="134"/>
    </row>
    <row r="33" ht="14.25" spans="2:4">
      <c r="B33" s="134"/>
      <c r="C33" s="134"/>
      <c r="D33" s="134"/>
    </row>
    <row r="34" ht="14.25" spans="2:4">
      <c r="B34" s="134"/>
      <c r="C34" s="134"/>
      <c r="D34" s="134"/>
    </row>
    <row r="35" spans="2:4">
      <c r="B35" s="136"/>
      <c r="C35" s="136"/>
      <c r="D35" s="136"/>
    </row>
  </sheetData>
  <mergeCells count="8">
    <mergeCell ref="A1:W1"/>
    <mergeCell ref="E2:F2"/>
    <mergeCell ref="K2:L2"/>
    <mergeCell ref="A14:B14"/>
    <mergeCell ref="A16:B16"/>
    <mergeCell ref="A2:A3"/>
    <mergeCell ref="B2:B3"/>
    <mergeCell ref="V2:V3"/>
  </mergeCells>
  <pageMargins left="0.75" right="0.75" top="1" bottom="1" header="0.5" footer="0.5"/>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0"/>
  <sheetViews>
    <sheetView tabSelected="1" workbookViewId="0">
      <pane xSplit="7" ySplit="2" topLeftCell="H8" activePane="bottomRight" state="frozenSplit"/>
      <selection/>
      <selection pane="topRight"/>
      <selection pane="bottomLeft"/>
      <selection pane="bottomRight" activeCell="D19" sqref="D19"/>
    </sheetView>
  </sheetViews>
  <sheetFormatPr defaultColWidth="8.89166666666667" defaultRowHeight="13.5" outlineLevelCol="5"/>
  <cols>
    <col min="1" max="1" width="5.89166666666667" customWidth="1"/>
    <col min="2" max="2" width="5.44166666666667" customWidth="1"/>
    <col min="4" max="4" width="14.5583333333333" customWidth="1"/>
    <col min="5" max="5" width="11.375" customWidth="1"/>
    <col min="6" max="6" width="39.8916666666667" customWidth="1"/>
  </cols>
  <sheetData>
    <row r="1" ht="53" customHeight="1" spans="1:6">
      <c r="A1" s="92" t="s">
        <v>61</v>
      </c>
      <c r="B1" s="92"/>
      <c r="C1" s="92"/>
      <c r="D1" s="92"/>
      <c r="E1" s="92"/>
      <c r="F1" s="92"/>
    </row>
    <row r="2" ht="27" customHeight="1" spans="1:6">
      <c r="A2" s="93" t="s">
        <v>1</v>
      </c>
      <c r="B2" s="93" t="s">
        <v>62</v>
      </c>
      <c r="C2" s="93"/>
      <c r="D2" s="93" t="s">
        <v>63</v>
      </c>
      <c r="E2" s="93" t="s">
        <v>48</v>
      </c>
      <c r="F2" s="93" t="s">
        <v>64</v>
      </c>
    </row>
    <row r="3" ht="20" customHeight="1" spans="1:6">
      <c r="A3" s="93">
        <v>1</v>
      </c>
      <c r="B3" s="94" t="s">
        <v>30</v>
      </c>
      <c r="C3" s="94"/>
      <c r="D3" s="94" t="s">
        <v>65</v>
      </c>
      <c r="E3" s="94">
        <v>30</v>
      </c>
      <c r="F3" s="95" t="s">
        <v>66</v>
      </c>
    </row>
    <row r="4" ht="20" customHeight="1" spans="1:6">
      <c r="A4" s="93">
        <v>2</v>
      </c>
      <c r="B4" s="94" t="s">
        <v>31</v>
      </c>
      <c r="C4" s="94"/>
      <c r="D4" s="94" t="s">
        <v>65</v>
      </c>
      <c r="E4" s="94">
        <v>30</v>
      </c>
      <c r="F4" s="95" t="s">
        <v>66</v>
      </c>
    </row>
    <row r="5" ht="27" customHeight="1" spans="1:6">
      <c r="A5" s="93">
        <v>3</v>
      </c>
      <c r="B5" s="94" t="s">
        <v>32</v>
      </c>
      <c r="C5" s="94" t="s">
        <v>67</v>
      </c>
      <c r="D5" s="94" t="s">
        <v>68</v>
      </c>
      <c r="E5" s="94">
        <v>5</v>
      </c>
      <c r="F5" s="95" t="s">
        <v>66</v>
      </c>
    </row>
    <row r="6" ht="34" customHeight="1" spans="1:6">
      <c r="A6" s="93">
        <v>4</v>
      </c>
      <c r="B6" s="94"/>
      <c r="C6" s="94" t="s">
        <v>69</v>
      </c>
      <c r="D6" s="94" t="s">
        <v>68</v>
      </c>
      <c r="E6" s="94">
        <v>1.5</v>
      </c>
      <c r="F6" s="95" t="s">
        <v>70</v>
      </c>
    </row>
    <row r="7" ht="50" customHeight="1" spans="1:6">
      <c r="A7" s="93">
        <v>5</v>
      </c>
      <c r="B7" s="94" t="s">
        <v>33</v>
      </c>
      <c r="C7" s="94"/>
      <c r="D7" s="94" t="s">
        <v>68</v>
      </c>
      <c r="E7" s="94">
        <v>150</v>
      </c>
      <c r="F7" s="95" t="s">
        <v>71</v>
      </c>
    </row>
    <row r="8" ht="54" customHeight="1" spans="1:6">
      <c r="A8" s="93">
        <v>6</v>
      </c>
      <c r="B8" s="96" t="s">
        <v>34</v>
      </c>
      <c r="C8" s="97"/>
      <c r="D8" s="94" t="s">
        <v>68</v>
      </c>
      <c r="E8" s="94">
        <v>78</v>
      </c>
      <c r="F8" s="95" t="s">
        <v>72</v>
      </c>
    </row>
    <row r="9" ht="34" customHeight="1" spans="1:6">
      <c r="A9" s="93">
        <v>7</v>
      </c>
      <c r="B9" s="94" t="s">
        <v>36</v>
      </c>
      <c r="C9" s="94"/>
      <c r="D9" s="94" t="s">
        <v>68</v>
      </c>
      <c r="E9" s="94">
        <v>0.5</v>
      </c>
      <c r="F9" s="95" t="s">
        <v>73</v>
      </c>
    </row>
    <row r="10" ht="23" customHeight="1" spans="1:6">
      <c r="A10" s="93">
        <v>8</v>
      </c>
      <c r="B10" s="94" t="s">
        <v>35</v>
      </c>
      <c r="C10" s="94"/>
      <c r="D10" s="94" t="s">
        <v>68</v>
      </c>
      <c r="E10" s="94">
        <v>12</v>
      </c>
      <c r="F10" s="95" t="s">
        <v>74</v>
      </c>
    </row>
    <row r="11" ht="23" customHeight="1" spans="1:6">
      <c r="A11" s="93">
        <v>9</v>
      </c>
      <c r="B11" s="98" t="s">
        <v>37</v>
      </c>
      <c r="C11" s="94" t="s">
        <v>75</v>
      </c>
      <c r="D11" s="94" t="s">
        <v>76</v>
      </c>
      <c r="E11" s="94">
        <v>6</v>
      </c>
      <c r="F11" s="95"/>
    </row>
    <row r="12" ht="23" customHeight="1" spans="1:6">
      <c r="A12" s="93">
        <v>10</v>
      </c>
      <c r="B12" s="98"/>
      <c r="C12" s="94" t="s">
        <v>77</v>
      </c>
      <c r="D12" s="94" t="s">
        <v>76</v>
      </c>
      <c r="E12" s="94">
        <v>7</v>
      </c>
      <c r="F12" s="95"/>
    </row>
    <row r="13" ht="23" customHeight="1" spans="1:6">
      <c r="A13" s="93">
        <v>11</v>
      </c>
      <c r="B13" s="94" t="s">
        <v>38</v>
      </c>
      <c r="C13" s="94"/>
      <c r="D13" s="94" t="s">
        <v>68</v>
      </c>
      <c r="E13" s="94">
        <v>225.4</v>
      </c>
      <c r="F13" s="95"/>
    </row>
    <row r="14" ht="23" customHeight="1" spans="1:6">
      <c r="A14" s="93">
        <v>12</v>
      </c>
      <c r="B14" s="94" t="s">
        <v>39</v>
      </c>
      <c r="C14" s="94"/>
      <c r="D14" s="94" t="s">
        <v>68</v>
      </c>
      <c r="E14" s="94">
        <v>48.5</v>
      </c>
      <c r="F14" s="95"/>
    </row>
    <row r="15" ht="23" customHeight="1" spans="1:6">
      <c r="A15" s="93">
        <v>13</v>
      </c>
      <c r="B15" s="94" t="s">
        <v>40</v>
      </c>
      <c r="C15" s="94"/>
      <c r="D15" s="94" t="s">
        <v>68</v>
      </c>
      <c r="E15" s="94">
        <v>28.7</v>
      </c>
      <c r="F15" s="95"/>
    </row>
    <row r="16" ht="23" customHeight="1" spans="1:6">
      <c r="A16" s="93">
        <v>14</v>
      </c>
      <c r="B16" s="94" t="s">
        <v>41</v>
      </c>
      <c r="C16" s="94"/>
      <c r="D16" s="94" t="s">
        <v>76</v>
      </c>
      <c r="E16" s="94">
        <v>13.8</v>
      </c>
      <c r="F16" s="95"/>
    </row>
    <row r="17" ht="34" customHeight="1" spans="1:6">
      <c r="A17" s="93">
        <v>15</v>
      </c>
      <c r="B17" s="94" t="s">
        <v>42</v>
      </c>
      <c r="C17" s="94"/>
      <c r="D17" s="94" t="s">
        <v>78</v>
      </c>
      <c r="E17" s="94">
        <v>300</v>
      </c>
      <c r="F17" s="95" t="s">
        <v>79</v>
      </c>
    </row>
    <row r="18" ht="68" customHeight="1" spans="1:6">
      <c r="A18" s="93">
        <v>16</v>
      </c>
      <c r="B18" s="94" t="s">
        <v>43</v>
      </c>
      <c r="C18" s="94"/>
      <c r="D18" s="94" t="s">
        <v>68</v>
      </c>
      <c r="E18" s="94">
        <v>2</v>
      </c>
      <c r="F18" s="95" t="s">
        <v>80</v>
      </c>
    </row>
    <row r="19" ht="34" customHeight="1" spans="1:6">
      <c r="A19" s="93">
        <v>17</v>
      </c>
      <c r="B19" s="94" t="s">
        <v>81</v>
      </c>
      <c r="C19" s="94"/>
      <c r="D19" s="94" t="s">
        <v>68</v>
      </c>
      <c r="E19" s="94">
        <v>27</v>
      </c>
      <c r="F19" s="95" t="s">
        <v>82</v>
      </c>
    </row>
    <row r="20" ht="20" customHeight="1" spans="1:6">
      <c r="A20" s="93">
        <v>18</v>
      </c>
      <c r="B20" s="94" t="s">
        <v>83</v>
      </c>
      <c r="C20" s="94"/>
      <c r="D20" s="94" t="s">
        <v>68</v>
      </c>
      <c r="E20" s="94">
        <v>53</v>
      </c>
      <c r="F20" s="95" t="s">
        <v>84</v>
      </c>
    </row>
  </sheetData>
  <mergeCells count="19">
    <mergeCell ref="A1:F1"/>
    <mergeCell ref="B2:C2"/>
    <mergeCell ref="B3:C3"/>
    <mergeCell ref="B4:C4"/>
    <mergeCell ref="B7:C7"/>
    <mergeCell ref="B8:C8"/>
    <mergeCell ref="B9:C9"/>
    <mergeCell ref="B10:C10"/>
    <mergeCell ref="B13:C13"/>
    <mergeCell ref="B14:C14"/>
    <mergeCell ref="B15:C15"/>
    <mergeCell ref="B16:C16"/>
    <mergeCell ref="B17:C17"/>
    <mergeCell ref="B18:C18"/>
    <mergeCell ref="B19:C19"/>
    <mergeCell ref="B20:C20"/>
    <mergeCell ref="B5:B6"/>
    <mergeCell ref="B11:B12"/>
    <mergeCell ref="F10:F16"/>
  </mergeCells>
  <pageMargins left="0.75" right="0.75" top="1" bottom="1"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446"/>
  <sheetViews>
    <sheetView zoomScale="145" zoomScaleNormal="145" workbookViewId="0">
      <pane xSplit="21" ySplit="3" topLeftCell="V13" activePane="bottomRight" state="frozenSplit"/>
      <selection/>
      <selection pane="topRight"/>
      <selection pane="bottomLeft"/>
      <selection pane="bottomRight" activeCell="C24" sqref="C24"/>
    </sheetView>
  </sheetViews>
  <sheetFormatPr defaultColWidth="9" defaultRowHeight="13.5"/>
  <cols>
    <col min="1" max="1" width="3.38333333333333" customWidth="1"/>
    <col min="2" max="2" width="7.525" customWidth="1"/>
    <col min="3" max="3" width="8.75" customWidth="1"/>
    <col min="4" max="4" width="8" customWidth="1"/>
    <col min="5" max="5" width="7.38333333333333" customWidth="1"/>
    <col min="6" max="6" width="9.90833333333333" style="6" customWidth="1"/>
    <col min="7" max="7" width="7.38333333333333" style="6" customWidth="1"/>
    <col min="8" max="10" width="6.38333333333333" style="6" customWidth="1"/>
    <col min="11" max="11" width="7.06666666666667" style="6" customWidth="1"/>
    <col min="12" max="12" width="8.01666666666667" style="6" customWidth="1"/>
    <col min="13" max="13" width="6.89166666666667" style="6" customWidth="1"/>
    <col min="14" max="17" width="6.38333333333333" style="6" customWidth="1"/>
    <col min="18" max="18" width="6.38333333333333" customWidth="1"/>
    <col min="19" max="19" width="7.80833333333333" style="6" customWidth="1"/>
    <col min="20" max="20" width="10.3333333333333" customWidth="1"/>
  </cols>
  <sheetData>
    <row r="1" ht="50" customHeight="1" spans="1:21">
      <c r="A1" s="7" t="s">
        <v>85</v>
      </c>
      <c r="B1" s="7"/>
      <c r="C1" s="7"/>
      <c r="D1" s="7"/>
      <c r="E1" s="7"/>
      <c r="F1" s="8"/>
      <c r="G1" s="8"/>
      <c r="H1" s="8"/>
      <c r="I1" s="8"/>
      <c r="J1" s="8"/>
      <c r="K1" s="8"/>
      <c r="L1" s="8"/>
      <c r="M1" s="8"/>
      <c r="N1" s="8"/>
      <c r="O1" s="8"/>
      <c r="P1" s="8"/>
      <c r="Q1" s="8"/>
      <c r="R1" s="7"/>
      <c r="S1" s="8"/>
    </row>
    <row r="2" ht="29" customHeight="1" spans="1:21">
      <c r="A2" s="9" t="s">
        <v>29</v>
      </c>
      <c r="B2" s="9" t="s">
        <v>86</v>
      </c>
      <c r="C2" s="9" t="s">
        <v>87</v>
      </c>
      <c r="D2" s="10" t="s">
        <v>30</v>
      </c>
      <c r="E2" s="10" t="s">
        <v>31</v>
      </c>
      <c r="F2" s="11" t="s">
        <v>32</v>
      </c>
      <c r="G2" s="11"/>
      <c r="H2" s="12" t="s">
        <v>33</v>
      </c>
      <c r="I2" s="12" t="s">
        <v>34</v>
      </c>
      <c r="J2" s="12" t="s">
        <v>35</v>
      </c>
      <c r="K2" s="11" t="s">
        <v>36</v>
      </c>
      <c r="L2" s="11" t="s">
        <v>37</v>
      </c>
      <c r="M2" s="11"/>
      <c r="N2" s="11" t="s">
        <v>38</v>
      </c>
      <c r="O2" s="11" t="s">
        <v>39</v>
      </c>
      <c r="P2" s="11" t="s">
        <v>40</v>
      </c>
      <c r="Q2" s="11" t="s">
        <v>41</v>
      </c>
      <c r="R2" s="10" t="s">
        <v>42</v>
      </c>
      <c r="S2" s="11" t="s">
        <v>43</v>
      </c>
      <c r="T2" s="13"/>
      <c r="U2" s="13"/>
    </row>
    <row r="3" ht="32" customHeight="1" spans="1:21">
      <c r="A3" s="9"/>
      <c r="B3" s="9"/>
      <c r="C3" s="9"/>
      <c r="D3" s="14" t="s">
        <v>49</v>
      </c>
      <c r="E3" s="14" t="s">
        <v>49</v>
      </c>
      <c r="F3" s="15" t="s">
        <v>50</v>
      </c>
      <c r="G3" s="15" t="s">
        <v>51</v>
      </c>
      <c r="H3" s="16" t="s">
        <v>52</v>
      </c>
      <c r="I3" s="16" t="s">
        <v>52</v>
      </c>
      <c r="J3" s="15" t="s">
        <v>52</v>
      </c>
      <c r="K3" s="15" t="s">
        <v>52</v>
      </c>
      <c r="L3" s="15" t="s">
        <v>53</v>
      </c>
      <c r="M3" s="15" t="s">
        <v>54</v>
      </c>
      <c r="N3" s="15" t="s">
        <v>52</v>
      </c>
      <c r="O3" s="15" t="s">
        <v>52</v>
      </c>
      <c r="P3" s="15" t="s">
        <v>52</v>
      </c>
      <c r="Q3" s="15" t="s">
        <v>55</v>
      </c>
      <c r="R3" s="14" t="s">
        <v>56</v>
      </c>
      <c r="S3" s="11" t="s">
        <v>52</v>
      </c>
      <c r="T3" s="13"/>
      <c r="U3" s="13"/>
    </row>
    <row r="4" ht="25.15" customHeight="1" spans="1:21">
      <c r="A4" s="17">
        <v>1</v>
      </c>
      <c r="B4" s="18" t="s">
        <v>88</v>
      </c>
      <c r="C4" s="18" t="s">
        <v>89</v>
      </c>
      <c r="D4" s="19">
        <v>568</v>
      </c>
      <c r="E4" s="19">
        <v>1144</v>
      </c>
      <c r="F4" s="20">
        <v>54267.4</v>
      </c>
      <c r="G4" s="20">
        <v>40392.2</v>
      </c>
      <c r="H4" s="20"/>
      <c r="I4" s="20"/>
      <c r="J4" s="20"/>
      <c r="K4" s="20"/>
      <c r="L4" s="20">
        <v>96</v>
      </c>
      <c r="M4" s="20"/>
      <c r="N4" s="20"/>
      <c r="O4" s="20"/>
      <c r="P4" s="20"/>
      <c r="Q4" s="20"/>
      <c r="R4" s="19"/>
      <c r="S4" s="21"/>
      <c r="T4" s="13"/>
      <c r="U4" s="13"/>
    </row>
    <row r="5" ht="18" spans="1:21">
      <c r="A5" s="17">
        <v>2</v>
      </c>
      <c r="B5" s="18" t="s">
        <v>90</v>
      </c>
      <c r="C5" s="18" t="s">
        <v>91</v>
      </c>
      <c r="D5" s="18"/>
      <c r="E5" s="18">
        <v>381</v>
      </c>
      <c r="F5" s="20">
        <v>4305</v>
      </c>
      <c r="G5" s="20">
        <v>4305</v>
      </c>
      <c r="H5" s="20"/>
      <c r="I5" s="20"/>
      <c r="J5" s="20">
        <v>613</v>
      </c>
      <c r="K5" s="20"/>
      <c r="L5" s="20"/>
      <c r="M5" s="20"/>
      <c r="N5" s="20"/>
      <c r="O5" s="20"/>
      <c r="P5" s="20"/>
      <c r="Q5" s="20"/>
      <c r="R5" s="18"/>
      <c r="S5" s="21"/>
      <c r="T5" s="13"/>
      <c r="U5" s="13"/>
    </row>
    <row r="6" spans="1:21">
      <c r="A6" s="17">
        <v>3</v>
      </c>
      <c r="B6" s="18" t="s">
        <v>92</v>
      </c>
      <c r="C6" s="18" t="s">
        <v>93</v>
      </c>
      <c r="D6" s="18">
        <v>288</v>
      </c>
      <c r="E6" s="18">
        <v>1414</v>
      </c>
      <c r="F6" s="20">
        <v>18914</v>
      </c>
      <c r="G6" s="20">
        <v>18914</v>
      </c>
      <c r="H6" s="20"/>
      <c r="I6" s="20"/>
      <c r="J6" s="20">
        <v>3234</v>
      </c>
      <c r="K6" s="20"/>
      <c r="L6" s="20"/>
      <c r="M6" s="20"/>
      <c r="N6" s="20"/>
      <c r="O6" s="20"/>
      <c r="P6" s="20"/>
      <c r="Q6" s="20"/>
      <c r="R6" s="18"/>
      <c r="S6" s="21"/>
      <c r="T6" s="13"/>
      <c r="U6" s="13"/>
    </row>
    <row r="7" ht="18" spans="1:21">
      <c r="A7" s="17">
        <v>4</v>
      </c>
      <c r="B7" s="18" t="s">
        <v>94</v>
      </c>
      <c r="C7" s="18" t="s">
        <v>95</v>
      </c>
      <c r="D7" s="18">
        <f>180-3-2</f>
        <v>175</v>
      </c>
      <c r="E7" s="18"/>
      <c r="F7" s="20">
        <v>366.3</v>
      </c>
      <c r="G7" s="20"/>
      <c r="H7" s="20"/>
      <c r="I7" s="20"/>
      <c r="J7" s="20"/>
      <c r="K7" s="20"/>
      <c r="L7" s="20"/>
      <c r="M7" s="20"/>
      <c r="N7" s="20"/>
      <c r="O7" s="20"/>
      <c r="P7" s="20"/>
      <c r="Q7" s="20"/>
      <c r="R7" s="18"/>
      <c r="S7" s="21"/>
      <c r="T7" s="13"/>
      <c r="U7" s="13"/>
    </row>
    <row r="8" spans="1:21">
      <c r="A8" s="17">
        <v>5</v>
      </c>
      <c r="B8" s="18" t="s">
        <v>96</v>
      </c>
      <c r="C8" s="18" t="s">
        <v>97</v>
      </c>
      <c r="D8" s="18">
        <f>689-1</f>
        <v>688</v>
      </c>
      <c r="E8" s="18">
        <f>2729</f>
        <v>2729</v>
      </c>
      <c r="F8" s="20">
        <f>58697.57-3-1-45.5-12-1-102-12</f>
        <v>58521.07</v>
      </c>
      <c r="G8" s="20"/>
      <c r="H8" s="22"/>
      <c r="I8" s="22"/>
      <c r="J8" s="20"/>
      <c r="K8" s="22"/>
      <c r="L8" s="20">
        <v>420</v>
      </c>
      <c r="M8" s="20"/>
      <c r="N8" s="20"/>
      <c r="O8" s="20"/>
      <c r="P8" s="20"/>
      <c r="Q8" s="20"/>
      <c r="R8" s="18"/>
      <c r="S8" s="22"/>
      <c r="T8" s="13"/>
      <c r="U8" s="13"/>
    </row>
    <row r="9" ht="18" spans="1:21">
      <c r="A9" s="17">
        <v>6</v>
      </c>
      <c r="B9" s="18" t="s">
        <v>96</v>
      </c>
      <c r="C9" s="18" t="s">
        <v>98</v>
      </c>
      <c r="D9" s="19">
        <v>325</v>
      </c>
      <c r="E9" s="19">
        <v>4085</v>
      </c>
      <c r="F9" s="20">
        <f>74000-1.3</f>
        <v>73998.7</v>
      </c>
      <c r="G9" s="20"/>
      <c r="H9" s="20"/>
      <c r="I9" s="20"/>
      <c r="J9" s="20"/>
      <c r="K9" s="20"/>
      <c r="L9" s="20"/>
      <c r="M9" s="20"/>
      <c r="N9" s="20"/>
      <c r="O9" s="20"/>
      <c r="P9" s="20"/>
      <c r="Q9" s="20"/>
      <c r="R9" s="18"/>
      <c r="S9" s="21"/>
      <c r="T9" s="13"/>
      <c r="U9" s="13"/>
    </row>
    <row r="10" spans="1:21">
      <c r="A10" s="17">
        <v>7</v>
      </c>
      <c r="B10" s="18" t="s">
        <v>99</v>
      </c>
      <c r="C10" s="18" t="s">
        <v>100</v>
      </c>
      <c r="D10" s="18">
        <v>144</v>
      </c>
      <c r="E10" s="18">
        <v>339</v>
      </c>
      <c r="F10" s="20">
        <v>7119</v>
      </c>
      <c r="G10" s="20">
        <v>2200</v>
      </c>
      <c r="H10" s="20"/>
      <c r="I10" s="20"/>
      <c r="J10" s="20"/>
      <c r="K10" s="20"/>
      <c r="L10" s="20"/>
      <c r="M10" s="20"/>
      <c r="N10" s="20"/>
      <c r="O10" s="20"/>
      <c r="P10" s="20"/>
      <c r="Q10" s="20"/>
      <c r="R10" s="19"/>
      <c r="S10" s="21"/>
      <c r="T10" s="13"/>
      <c r="U10" s="13"/>
    </row>
    <row r="11" spans="1:21">
      <c r="A11" s="17">
        <v>8</v>
      </c>
      <c r="B11" s="18" t="s">
        <v>101</v>
      </c>
      <c r="C11" s="18" t="s">
        <v>102</v>
      </c>
      <c r="D11" s="19">
        <v>122</v>
      </c>
      <c r="E11" s="19">
        <v>131</v>
      </c>
      <c r="F11" s="20">
        <v>1520</v>
      </c>
      <c r="G11" s="20"/>
      <c r="H11" s="20"/>
      <c r="I11" s="20"/>
      <c r="J11" s="20"/>
      <c r="K11" s="20"/>
      <c r="L11" s="20"/>
      <c r="M11" s="20"/>
      <c r="N11" s="20"/>
      <c r="O11" s="20"/>
      <c r="P11" s="20"/>
      <c r="Q11" s="20"/>
      <c r="R11" s="19"/>
      <c r="S11" s="21"/>
      <c r="T11" s="13"/>
      <c r="U11" s="13"/>
    </row>
    <row r="12" spans="1:21">
      <c r="A12" s="17">
        <v>9</v>
      </c>
      <c r="B12" s="18" t="s">
        <v>99</v>
      </c>
      <c r="C12" s="23" t="s">
        <v>103</v>
      </c>
      <c r="D12" s="19">
        <v>270</v>
      </c>
      <c r="E12" s="19">
        <v>1495</v>
      </c>
      <c r="F12" s="20">
        <f>26664-5</f>
        <v>26659</v>
      </c>
      <c r="G12" s="20"/>
      <c r="H12" s="20"/>
      <c r="I12" s="20"/>
      <c r="J12" s="20"/>
      <c r="K12" s="20"/>
      <c r="L12" s="20"/>
      <c r="M12" s="20"/>
      <c r="N12" s="20"/>
      <c r="O12" s="20"/>
      <c r="P12" s="20"/>
      <c r="Q12" s="20"/>
      <c r="R12" s="19"/>
      <c r="S12" s="21"/>
      <c r="T12" s="13"/>
      <c r="U12" s="13"/>
    </row>
    <row r="13" spans="1:21">
      <c r="A13" s="17">
        <v>10</v>
      </c>
      <c r="B13" s="18" t="s">
        <v>104</v>
      </c>
      <c r="C13" s="18" t="s">
        <v>105</v>
      </c>
      <c r="D13" s="19">
        <v>42</v>
      </c>
      <c r="E13" s="19">
        <v>79</v>
      </c>
      <c r="F13" s="20">
        <f>2721-1-2</f>
        <v>2718</v>
      </c>
      <c r="G13" s="20"/>
      <c r="H13" s="20"/>
      <c r="I13" s="20"/>
      <c r="J13" s="20"/>
      <c r="K13" s="20"/>
      <c r="L13" s="20">
        <v>780</v>
      </c>
      <c r="M13" s="20"/>
      <c r="N13" s="20"/>
      <c r="O13" s="20"/>
      <c r="P13" s="20"/>
      <c r="Q13" s="20"/>
      <c r="R13" s="18"/>
      <c r="S13" s="21"/>
      <c r="T13" s="13"/>
      <c r="U13" s="13"/>
    </row>
    <row r="14" spans="1:21">
      <c r="A14" s="17">
        <v>11</v>
      </c>
      <c r="B14" s="18" t="s">
        <v>106</v>
      </c>
      <c r="C14" s="18" t="s">
        <v>107</v>
      </c>
      <c r="D14" s="19">
        <v>197</v>
      </c>
      <c r="E14" s="19">
        <v>2714</v>
      </c>
      <c r="F14" s="20">
        <v>26289</v>
      </c>
      <c r="G14" s="20"/>
      <c r="H14" s="20"/>
      <c r="I14" s="20"/>
      <c r="J14" s="20"/>
      <c r="K14" s="20"/>
      <c r="L14" s="20"/>
      <c r="M14" s="20"/>
      <c r="N14" s="20"/>
      <c r="O14" s="20"/>
      <c r="P14" s="20"/>
      <c r="Q14" s="20"/>
      <c r="R14" s="19"/>
      <c r="S14" s="21"/>
      <c r="T14" s="13"/>
      <c r="U14" s="13"/>
    </row>
    <row r="15" ht="18" spans="1:21">
      <c r="A15" s="17">
        <v>12</v>
      </c>
      <c r="B15" s="18" t="s">
        <v>108</v>
      </c>
      <c r="C15" s="18" t="s">
        <v>109</v>
      </c>
      <c r="D15" s="19"/>
      <c r="E15" s="19">
        <v>224</v>
      </c>
      <c r="F15" s="20">
        <v>5752.7</v>
      </c>
      <c r="G15" s="20">
        <v>5752.7</v>
      </c>
      <c r="H15" s="20"/>
      <c r="I15" s="20"/>
      <c r="J15" s="20">
        <v>1462</v>
      </c>
      <c r="K15" s="20"/>
      <c r="L15" s="20"/>
      <c r="M15" s="20"/>
      <c r="N15" s="20">
        <v>382</v>
      </c>
      <c r="O15" s="20"/>
      <c r="P15" s="20"/>
      <c r="Q15" s="20"/>
      <c r="R15" s="18">
        <v>13</v>
      </c>
      <c r="S15" s="21"/>
      <c r="T15" s="13"/>
      <c r="U15" s="13"/>
    </row>
    <row r="16" spans="1:21">
      <c r="A16" s="17">
        <v>13</v>
      </c>
      <c r="B16" s="18" t="s">
        <v>110</v>
      </c>
      <c r="C16" s="18" t="s">
        <v>111</v>
      </c>
      <c r="D16" s="19"/>
      <c r="E16" s="19">
        <f>127</f>
        <v>127</v>
      </c>
      <c r="F16" s="20">
        <f>314-62</f>
        <v>252</v>
      </c>
      <c r="G16" s="20"/>
      <c r="H16" s="20"/>
      <c r="I16" s="20"/>
      <c r="J16" s="20"/>
      <c r="K16" s="20"/>
      <c r="L16" s="20">
        <v>576</v>
      </c>
      <c r="M16" s="20"/>
      <c r="N16" s="20"/>
      <c r="O16" s="20"/>
      <c r="P16" s="20"/>
      <c r="Q16" s="20"/>
      <c r="R16" s="18"/>
      <c r="S16" s="21"/>
      <c r="T16" s="13"/>
      <c r="U16" s="13"/>
    </row>
    <row r="17" spans="1:21">
      <c r="A17" s="17">
        <v>14</v>
      </c>
      <c r="B17" s="18" t="s">
        <v>112</v>
      </c>
      <c r="C17" s="18" t="s">
        <v>113</v>
      </c>
      <c r="D17" s="19">
        <v>242</v>
      </c>
      <c r="E17" s="19"/>
      <c r="F17" s="20">
        <v>242</v>
      </c>
      <c r="G17" s="20"/>
      <c r="H17" s="20"/>
      <c r="I17" s="20"/>
      <c r="J17" s="20"/>
      <c r="K17" s="20"/>
      <c r="L17" s="20"/>
      <c r="M17" s="20"/>
      <c r="N17" s="20"/>
      <c r="O17" s="20"/>
      <c r="P17" s="20"/>
      <c r="Q17" s="20"/>
      <c r="R17" s="18"/>
      <c r="S17" s="21"/>
      <c r="T17" s="13"/>
      <c r="U17" s="13"/>
    </row>
    <row r="18" ht="18" spans="1:21">
      <c r="A18" s="17">
        <v>15</v>
      </c>
      <c r="B18" s="18" t="s">
        <v>114</v>
      </c>
      <c r="C18" s="18" t="s">
        <v>115</v>
      </c>
      <c r="D18" s="19">
        <v>345</v>
      </c>
      <c r="E18" s="19">
        <f>523</f>
        <v>523</v>
      </c>
      <c r="F18" s="20">
        <f>4920-30-16.1</f>
        <v>4873.9</v>
      </c>
      <c r="G18" s="20"/>
      <c r="H18" s="20"/>
      <c r="I18" s="20"/>
      <c r="J18" s="20"/>
      <c r="K18" s="20"/>
      <c r="L18" s="20"/>
      <c r="M18" s="20"/>
      <c r="N18" s="20"/>
      <c r="O18" s="20"/>
      <c r="P18" s="20"/>
      <c r="Q18" s="20"/>
      <c r="R18" s="18"/>
      <c r="S18" s="21"/>
      <c r="T18" s="13"/>
      <c r="U18" s="13"/>
    </row>
    <row r="19" ht="27" spans="1:21">
      <c r="A19" s="17">
        <v>16</v>
      </c>
      <c r="B19" s="18" t="s">
        <v>116</v>
      </c>
      <c r="C19" s="18" t="s">
        <v>115</v>
      </c>
      <c r="D19" s="19">
        <v>452</v>
      </c>
      <c r="E19" s="19">
        <v>41</v>
      </c>
      <c r="F19" s="24">
        <v>2329</v>
      </c>
      <c r="G19" s="20"/>
      <c r="H19" s="20"/>
      <c r="I19" s="20"/>
      <c r="J19" s="20"/>
      <c r="K19" s="20"/>
      <c r="L19" s="20"/>
      <c r="M19" s="20"/>
      <c r="N19" s="20"/>
      <c r="O19" s="20"/>
      <c r="P19" s="20"/>
      <c r="Q19" s="20"/>
      <c r="R19" s="18"/>
      <c r="S19" s="21"/>
      <c r="T19" s="25" t="s">
        <v>117</v>
      </c>
      <c r="U19" s="25" t="s">
        <v>118</v>
      </c>
    </row>
    <row r="20" ht="27" spans="1:21">
      <c r="A20" s="17">
        <v>17</v>
      </c>
      <c r="B20" s="18" t="s">
        <v>119</v>
      </c>
      <c r="C20" s="18" t="s">
        <v>120</v>
      </c>
      <c r="D20" s="19">
        <v>184</v>
      </c>
      <c r="E20" s="19"/>
      <c r="F20" s="24">
        <f>184+125.3</f>
        <v>309.3</v>
      </c>
      <c r="G20" s="20"/>
      <c r="H20" s="20"/>
      <c r="I20" s="20"/>
      <c r="J20" s="20"/>
      <c r="K20" s="20"/>
      <c r="L20" s="20"/>
      <c r="M20" s="20"/>
      <c r="N20" s="20"/>
      <c r="O20" s="20"/>
      <c r="P20" s="20"/>
      <c r="Q20" s="20"/>
      <c r="R20" s="18"/>
      <c r="S20" s="21"/>
      <c r="T20" s="25" t="s">
        <v>121</v>
      </c>
      <c r="U20" s="13"/>
    </row>
    <row r="21" spans="1:21">
      <c r="A21" s="17">
        <v>18</v>
      </c>
      <c r="B21" s="18" t="s">
        <v>122</v>
      </c>
      <c r="C21" s="18" t="s">
        <v>123</v>
      </c>
      <c r="D21" s="19">
        <v>504</v>
      </c>
      <c r="E21" s="19"/>
      <c r="F21" s="20">
        <v>504</v>
      </c>
      <c r="G21" s="20"/>
      <c r="H21" s="20"/>
      <c r="I21" s="20"/>
      <c r="J21" s="20"/>
      <c r="K21" s="20"/>
      <c r="L21" s="20"/>
      <c r="M21" s="20"/>
      <c r="N21" s="20"/>
      <c r="O21" s="20"/>
      <c r="P21" s="20"/>
      <c r="Q21" s="20"/>
      <c r="R21" s="18"/>
      <c r="S21" s="21"/>
      <c r="T21" s="13"/>
      <c r="U21" s="13"/>
    </row>
    <row r="22" spans="1:21">
      <c r="A22" s="17">
        <v>19</v>
      </c>
      <c r="B22" s="18" t="s">
        <v>124</v>
      </c>
      <c r="C22" s="18" t="s">
        <v>125</v>
      </c>
      <c r="D22" s="19">
        <v>34</v>
      </c>
      <c r="E22" s="19"/>
      <c r="F22" s="20">
        <v>588.8</v>
      </c>
      <c r="G22" s="20">
        <v>588.8</v>
      </c>
      <c r="H22" s="20"/>
      <c r="I22" s="20"/>
      <c r="J22" s="20"/>
      <c r="K22" s="20"/>
      <c r="L22" s="20"/>
      <c r="M22" s="20"/>
      <c r="N22" s="20"/>
      <c r="O22" s="20"/>
      <c r="P22" s="20"/>
      <c r="Q22" s="20"/>
      <c r="R22" s="18"/>
      <c r="S22" s="21"/>
      <c r="T22" s="13"/>
      <c r="U22" s="13"/>
    </row>
    <row r="23" spans="1:21">
      <c r="A23" s="17">
        <v>20</v>
      </c>
      <c r="B23" s="18" t="s">
        <v>126</v>
      </c>
      <c r="C23" s="18" t="s">
        <v>127</v>
      </c>
      <c r="D23" s="19">
        <v>279</v>
      </c>
      <c r="E23" s="19">
        <f>193</f>
        <v>193</v>
      </c>
      <c r="F23" s="20">
        <f>4451-2-6</f>
        <v>4443</v>
      </c>
      <c r="G23" s="20"/>
      <c r="H23" s="20"/>
      <c r="I23" s="20"/>
      <c r="J23" s="20"/>
      <c r="K23" s="20"/>
      <c r="L23" s="20"/>
      <c r="M23" s="20"/>
      <c r="N23" s="20"/>
      <c r="O23" s="20"/>
      <c r="P23" s="20"/>
      <c r="Q23" s="20"/>
      <c r="R23" s="18"/>
      <c r="S23" s="21"/>
      <c r="T23" s="13"/>
      <c r="U23" s="13"/>
    </row>
    <row r="24" ht="18" spans="1:21">
      <c r="A24" s="17">
        <v>21</v>
      </c>
      <c r="B24" s="18" t="s">
        <v>126</v>
      </c>
      <c r="C24" s="18" t="s">
        <v>128</v>
      </c>
      <c r="D24" s="19">
        <v>47</v>
      </c>
      <c r="E24" s="19"/>
      <c r="F24" s="20">
        <v>2270</v>
      </c>
      <c r="G24" s="20"/>
      <c r="H24" s="20"/>
      <c r="I24" s="20"/>
      <c r="J24" s="20"/>
      <c r="K24" s="20"/>
      <c r="L24" s="20">
        <v>619</v>
      </c>
      <c r="M24" s="20"/>
      <c r="N24" s="20"/>
      <c r="O24" s="20"/>
      <c r="P24" s="20"/>
      <c r="Q24" s="20"/>
      <c r="R24" s="18"/>
      <c r="S24" s="21"/>
      <c r="T24" s="13"/>
      <c r="U24" s="13"/>
    </row>
    <row r="25" ht="18" spans="1:21">
      <c r="A25" s="17">
        <v>22</v>
      </c>
      <c r="B25" s="18" t="s">
        <v>129</v>
      </c>
      <c r="C25" s="18" t="s">
        <v>130</v>
      </c>
      <c r="D25" s="19"/>
      <c r="E25" s="19">
        <f>437</f>
        <v>437</v>
      </c>
      <c r="F25" s="20">
        <f>22804.1-1096.34</f>
        <v>21707.76</v>
      </c>
      <c r="G25" s="20">
        <v>22804.1</v>
      </c>
      <c r="H25" s="20"/>
      <c r="I25" s="20"/>
      <c r="J25" s="20">
        <v>6359</v>
      </c>
      <c r="K25" s="20"/>
      <c r="L25" s="20">
        <v>35</v>
      </c>
      <c r="M25" s="20"/>
      <c r="N25" s="20">
        <v>32</v>
      </c>
      <c r="O25" s="20">
        <v>100</v>
      </c>
      <c r="P25" s="20"/>
      <c r="Q25" s="20">
        <v>28</v>
      </c>
      <c r="R25" s="19">
        <v>10</v>
      </c>
      <c r="S25" s="21"/>
      <c r="T25" s="13"/>
      <c r="U25" s="13"/>
    </row>
    <row r="26" ht="18" spans="1:21">
      <c r="A26" s="17">
        <v>23</v>
      </c>
      <c r="B26" s="18" t="s">
        <v>131</v>
      </c>
      <c r="C26" s="23" t="s">
        <v>132</v>
      </c>
      <c r="D26" s="19">
        <v>507</v>
      </c>
      <c r="E26" s="19">
        <v>616</v>
      </c>
      <c r="F26" s="20">
        <v>29498.06</v>
      </c>
      <c r="G26" s="20">
        <v>25214.6</v>
      </c>
      <c r="H26" s="20"/>
      <c r="I26" s="20"/>
      <c r="J26" s="20">
        <v>0</v>
      </c>
      <c r="K26" s="20"/>
      <c r="L26" s="20">
        <v>632.2</v>
      </c>
      <c r="M26" s="20"/>
      <c r="N26" s="20"/>
      <c r="O26" s="20"/>
      <c r="P26" s="20"/>
      <c r="Q26" s="20"/>
      <c r="R26" s="19"/>
      <c r="S26" s="21"/>
      <c r="T26" s="13"/>
      <c r="U26" s="13"/>
    </row>
    <row r="27" spans="1:21">
      <c r="A27" s="17">
        <v>24</v>
      </c>
      <c r="B27" s="18" t="s">
        <v>133</v>
      </c>
      <c r="C27" s="18" t="s">
        <v>134</v>
      </c>
      <c r="D27" s="18">
        <v>219</v>
      </c>
      <c r="E27" s="19"/>
      <c r="F27" s="20">
        <v>370</v>
      </c>
      <c r="G27" s="20"/>
      <c r="H27" s="20"/>
      <c r="I27" s="20"/>
      <c r="J27" s="20"/>
      <c r="K27" s="20"/>
      <c r="L27" s="20"/>
      <c r="M27" s="20"/>
      <c r="N27" s="20"/>
      <c r="O27" s="20"/>
      <c r="P27" s="20"/>
      <c r="Q27" s="20"/>
      <c r="R27" s="19"/>
      <c r="S27" s="21"/>
      <c r="T27" s="13"/>
      <c r="U27" s="13"/>
    </row>
    <row r="28" spans="1:21">
      <c r="A28" s="17">
        <v>25</v>
      </c>
      <c r="B28" s="26" t="s">
        <v>131</v>
      </c>
      <c r="C28" s="26" t="s">
        <v>135</v>
      </c>
      <c r="D28" s="26"/>
      <c r="E28" s="27"/>
      <c r="F28" s="24">
        <v>787.5</v>
      </c>
      <c r="G28" s="24">
        <v>787.5</v>
      </c>
      <c r="H28" s="24"/>
      <c r="I28" s="24"/>
      <c r="J28" s="24"/>
      <c r="K28" s="24"/>
      <c r="L28" s="24"/>
      <c r="M28" s="24"/>
      <c r="N28" s="24"/>
      <c r="O28" s="24"/>
      <c r="P28" s="24"/>
      <c r="Q28" s="24"/>
      <c r="R28" s="27"/>
      <c r="S28" s="28"/>
      <c r="T28" s="29" t="s">
        <v>136</v>
      </c>
      <c r="U28" s="13"/>
    </row>
    <row r="29" ht="27" spans="1:21">
      <c r="A29" s="17">
        <v>26</v>
      </c>
      <c r="B29" s="18" t="s">
        <v>137</v>
      </c>
      <c r="C29" s="18" t="s">
        <v>138</v>
      </c>
      <c r="D29" s="19">
        <v>51</v>
      </c>
      <c r="E29" s="19">
        <v>359</v>
      </c>
      <c r="F29" s="20">
        <f>12422-10-30-4</f>
        <v>12378</v>
      </c>
      <c r="G29" s="20">
        <v>0</v>
      </c>
      <c r="H29" s="20"/>
      <c r="I29" s="20"/>
      <c r="J29" s="20">
        <v>0</v>
      </c>
      <c r="K29" s="20"/>
      <c r="L29" s="20">
        <v>562</v>
      </c>
      <c r="M29" s="20"/>
      <c r="N29" s="20"/>
      <c r="O29" s="20"/>
      <c r="P29" s="20"/>
      <c r="Q29" s="20"/>
      <c r="R29" s="18"/>
      <c r="S29" s="21"/>
      <c r="T29" s="13"/>
      <c r="U29" s="13"/>
    </row>
    <row r="30" ht="18" spans="1:21">
      <c r="A30" s="17">
        <v>27</v>
      </c>
      <c r="B30" s="18" t="s">
        <v>139</v>
      </c>
      <c r="C30" s="18" t="s">
        <v>140</v>
      </c>
      <c r="D30" s="19">
        <v>169</v>
      </c>
      <c r="E30" s="19">
        <v>830</v>
      </c>
      <c r="F30" s="20">
        <v>10397.095</v>
      </c>
      <c r="G30" s="20">
        <v>0</v>
      </c>
      <c r="H30" s="20"/>
      <c r="I30" s="20"/>
      <c r="J30" s="20">
        <v>590.49</v>
      </c>
      <c r="K30" s="20"/>
      <c r="L30" s="20">
        <v>2999</v>
      </c>
      <c r="M30" s="20"/>
      <c r="N30" s="20"/>
      <c r="O30" s="20">
        <v>40</v>
      </c>
      <c r="P30" s="20"/>
      <c r="Q30" s="20">
        <v>57</v>
      </c>
      <c r="R30" s="18">
        <v>2</v>
      </c>
      <c r="S30" s="21"/>
      <c r="T30" s="13"/>
      <c r="U30" s="13"/>
    </row>
    <row r="31" ht="18" spans="1:21">
      <c r="A31" s="17">
        <v>28</v>
      </c>
      <c r="B31" s="18" t="s">
        <v>141</v>
      </c>
      <c r="C31" s="18" t="s">
        <v>142</v>
      </c>
      <c r="D31" s="19">
        <v>11</v>
      </c>
      <c r="E31" s="19"/>
      <c r="F31" s="20">
        <v>11</v>
      </c>
      <c r="G31" s="20"/>
      <c r="H31" s="20"/>
      <c r="I31" s="20"/>
      <c r="J31" s="20"/>
      <c r="K31" s="20"/>
      <c r="L31" s="20"/>
      <c r="M31" s="20"/>
      <c r="N31" s="20"/>
      <c r="O31" s="20"/>
      <c r="P31" s="20"/>
      <c r="Q31" s="20"/>
      <c r="R31" s="18"/>
      <c r="S31" s="21"/>
      <c r="T31" s="13"/>
      <c r="U31" s="13"/>
    </row>
    <row r="32" spans="1:21">
      <c r="A32" s="17">
        <v>29</v>
      </c>
      <c r="B32" s="18" t="s">
        <v>143</v>
      </c>
      <c r="C32" s="18" t="s">
        <v>144</v>
      </c>
      <c r="D32" s="19">
        <f>141-8</f>
        <v>133</v>
      </c>
      <c r="E32" s="19"/>
      <c r="F32" s="20">
        <v>141</v>
      </c>
      <c r="G32" s="20"/>
      <c r="H32" s="20"/>
      <c r="I32" s="20"/>
      <c r="J32" s="20"/>
      <c r="K32" s="20"/>
      <c r="L32" s="20"/>
      <c r="M32" s="20"/>
      <c r="N32" s="20"/>
      <c r="O32" s="20"/>
      <c r="P32" s="20"/>
      <c r="Q32" s="20"/>
      <c r="R32" s="18"/>
      <c r="S32" s="21"/>
      <c r="T32" s="13"/>
      <c r="U32" s="13"/>
    </row>
    <row r="33" spans="1:21">
      <c r="A33" s="17">
        <v>30</v>
      </c>
      <c r="B33" s="18" t="s">
        <v>145</v>
      </c>
      <c r="C33" s="18" t="s">
        <v>146</v>
      </c>
      <c r="D33" s="18">
        <v>133</v>
      </c>
      <c r="E33" s="30"/>
      <c r="F33" s="20">
        <v>133</v>
      </c>
      <c r="G33" s="20"/>
      <c r="H33" s="20"/>
      <c r="I33" s="20"/>
      <c r="J33" s="20"/>
      <c r="K33" s="20"/>
      <c r="L33" s="20"/>
      <c r="M33" s="20"/>
      <c r="N33" s="20"/>
      <c r="O33" s="20"/>
      <c r="P33" s="20"/>
      <c r="Q33" s="20"/>
      <c r="R33" s="18"/>
      <c r="S33" s="21"/>
      <c r="T33" s="13"/>
      <c r="U33" s="13"/>
    </row>
    <row r="34" s="1" customFormat="1" spans="1:21">
      <c r="A34" s="17">
        <v>31</v>
      </c>
      <c r="B34" s="17" t="s">
        <v>147</v>
      </c>
      <c r="C34" s="17" t="s">
        <v>148</v>
      </c>
      <c r="D34" s="31">
        <v>50</v>
      </c>
      <c r="E34" s="31"/>
      <c r="F34" s="32">
        <v>50</v>
      </c>
      <c r="G34" s="32"/>
      <c r="H34" s="32"/>
      <c r="I34" s="32"/>
      <c r="J34" s="32"/>
      <c r="K34" s="32"/>
      <c r="L34" s="32"/>
      <c r="M34" s="32"/>
      <c r="N34" s="32"/>
      <c r="O34" s="32"/>
      <c r="P34" s="32"/>
      <c r="Q34" s="32"/>
      <c r="R34" s="17"/>
      <c r="S34" s="33"/>
      <c r="T34" s="34"/>
      <c r="U34" s="34"/>
    </row>
    <row r="35" spans="1:21">
      <c r="A35" s="17">
        <v>32</v>
      </c>
      <c r="B35" s="18" t="s">
        <v>149</v>
      </c>
      <c r="C35" s="18" t="s">
        <v>150</v>
      </c>
      <c r="D35" s="19">
        <v>39</v>
      </c>
      <c r="E35" s="19"/>
      <c r="F35" s="20">
        <v>39</v>
      </c>
      <c r="G35" s="20"/>
      <c r="H35" s="20"/>
      <c r="I35" s="20"/>
      <c r="J35" s="20"/>
      <c r="K35" s="20"/>
      <c r="L35" s="20"/>
      <c r="M35" s="20"/>
      <c r="N35" s="20"/>
      <c r="O35" s="20"/>
      <c r="P35" s="20"/>
      <c r="Q35" s="20"/>
      <c r="R35" s="18"/>
      <c r="S35" s="21"/>
      <c r="T35" s="13"/>
      <c r="U35" s="13"/>
    </row>
    <row r="36" spans="1:21">
      <c r="A36" s="17">
        <v>33</v>
      </c>
      <c r="B36" s="18" t="s">
        <v>149</v>
      </c>
      <c r="C36" s="18" t="s">
        <v>151</v>
      </c>
      <c r="D36" s="19">
        <v>80</v>
      </c>
      <c r="E36" s="19"/>
      <c r="F36" s="20">
        <v>80</v>
      </c>
      <c r="G36" s="20"/>
      <c r="H36" s="20"/>
      <c r="I36" s="20"/>
      <c r="J36" s="20"/>
      <c r="K36" s="20"/>
      <c r="L36" s="20"/>
      <c r="M36" s="20"/>
      <c r="N36" s="20"/>
      <c r="O36" s="20"/>
      <c r="P36" s="20"/>
      <c r="Q36" s="20"/>
      <c r="R36" s="18"/>
      <c r="S36" s="21"/>
      <c r="T36" s="13"/>
      <c r="U36" s="13"/>
    </row>
    <row r="37" spans="1:21">
      <c r="A37" s="17">
        <v>34</v>
      </c>
      <c r="B37" s="18" t="s">
        <v>152</v>
      </c>
      <c r="C37" s="18" t="s">
        <v>153</v>
      </c>
      <c r="D37" s="19">
        <v>100</v>
      </c>
      <c r="E37" s="19"/>
      <c r="F37" s="20">
        <v>100</v>
      </c>
      <c r="G37" s="20"/>
      <c r="H37" s="20"/>
      <c r="I37" s="20"/>
      <c r="J37" s="20"/>
      <c r="K37" s="20"/>
      <c r="L37" s="20"/>
      <c r="M37" s="20"/>
      <c r="N37" s="20"/>
      <c r="O37" s="20"/>
      <c r="P37" s="20"/>
      <c r="Q37" s="20"/>
      <c r="R37" s="18"/>
      <c r="S37" s="21"/>
      <c r="T37" s="13"/>
      <c r="U37" s="13"/>
    </row>
    <row r="38" ht="81" spans="1:21">
      <c r="A38" s="17">
        <v>35</v>
      </c>
      <c r="B38" s="18" t="s">
        <v>154</v>
      </c>
      <c r="C38" s="18" t="s">
        <v>155</v>
      </c>
      <c r="D38" s="19">
        <v>367</v>
      </c>
      <c r="E38" s="27">
        <f>49+11</f>
        <v>60</v>
      </c>
      <c r="F38" s="24">
        <f>2235-391.57</f>
        <v>1843.43</v>
      </c>
      <c r="G38" s="24">
        <f>950-391.57</f>
        <v>558.43</v>
      </c>
      <c r="H38" s="20"/>
      <c r="I38" s="20"/>
      <c r="J38" s="24">
        <v>391.57</v>
      </c>
      <c r="K38" s="20"/>
      <c r="L38" s="24">
        <f>1560+13.4</f>
        <v>1573.4</v>
      </c>
      <c r="M38" s="20"/>
      <c r="N38" s="20"/>
      <c r="O38" s="20"/>
      <c r="P38" s="20"/>
      <c r="Q38" s="24">
        <f>7*2+18.6</f>
        <v>32.6</v>
      </c>
      <c r="R38" s="18"/>
      <c r="S38" s="21"/>
      <c r="T38" s="35" t="s">
        <v>156</v>
      </c>
      <c r="U38" s="13"/>
    </row>
    <row r="39" ht="18" spans="1:21">
      <c r="A39" s="17">
        <v>36</v>
      </c>
      <c r="B39" s="18" t="s">
        <v>157</v>
      </c>
      <c r="C39" s="18" t="s">
        <v>158</v>
      </c>
      <c r="D39" s="19">
        <v>71</v>
      </c>
      <c r="E39" s="19"/>
      <c r="F39" s="20">
        <v>71</v>
      </c>
      <c r="G39" s="20"/>
      <c r="H39" s="20"/>
      <c r="I39" s="20"/>
      <c r="J39" s="20"/>
      <c r="K39" s="20"/>
      <c r="L39" s="20"/>
      <c r="M39" s="20"/>
      <c r="N39" s="20"/>
      <c r="O39" s="20"/>
      <c r="P39" s="20"/>
      <c r="Q39" s="20"/>
      <c r="R39" s="18"/>
      <c r="S39" s="21"/>
      <c r="T39" s="13"/>
      <c r="U39" s="13"/>
    </row>
    <row r="40" spans="1:21">
      <c r="A40" s="17">
        <v>37</v>
      </c>
      <c r="B40" s="18" t="s">
        <v>157</v>
      </c>
      <c r="C40" s="18" t="s">
        <v>159</v>
      </c>
      <c r="D40" s="19">
        <v>63</v>
      </c>
      <c r="E40" s="19"/>
      <c r="F40" s="20">
        <v>63</v>
      </c>
      <c r="G40" s="20"/>
      <c r="H40" s="20"/>
      <c r="I40" s="20"/>
      <c r="J40" s="20"/>
      <c r="K40" s="20"/>
      <c r="L40" s="20"/>
      <c r="M40" s="20"/>
      <c r="N40" s="20"/>
      <c r="O40" s="20"/>
      <c r="P40" s="20"/>
      <c r="Q40" s="20"/>
      <c r="R40" s="18"/>
      <c r="S40" s="21"/>
      <c r="T40" s="13"/>
      <c r="U40" s="13"/>
    </row>
    <row r="41" spans="1:21">
      <c r="A41" s="17">
        <v>38</v>
      </c>
      <c r="B41" s="18" t="s">
        <v>160</v>
      </c>
      <c r="C41" s="18" t="s">
        <v>161</v>
      </c>
      <c r="D41" s="19">
        <v>28</v>
      </c>
      <c r="E41" s="19"/>
      <c r="F41" s="20">
        <v>28</v>
      </c>
      <c r="G41" s="20"/>
      <c r="H41" s="20"/>
      <c r="I41" s="20"/>
      <c r="J41" s="20"/>
      <c r="K41" s="20"/>
      <c r="L41" s="20"/>
      <c r="M41" s="20"/>
      <c r="N41" s="20"/>
      <c r="O41" s="20"/>
      <c r="P41" s="20"/>
      <c r="Q41" s="20"/>
      <c r="R41" s="18"/>
      <c r="S41" s="21"/>
      <c r="T41" s="13"/>
      <c r="U41" s="13"/>
    </row>
    <row r="42" spans="1:21">
      <c r="A42" s="17">
        <v>39</v>
      </c>
      <c r="B42" s="18" t="s">
        <v>162</v>
      </c>
      <c r="C42" s="18" t="s">
        <v>161</v>
      </c>
      <c r="D42" s="19">
        <v>25</v>
      </c>
      <c r="E42" s="19"/>
      <c r="F42" s="20">
        <v>25</v>
      </c>
      <c r="G42" s="20"/>
      <c r="H42" s="20"/>
      <c r="I42" s="20"/>
      <c r="J42" s="20"/>
      <c r="K42" s="20"/>
      <c r="L42" s="20"/>
      <c r="M42" s="20"/>
      <c r="N42" s="20"/>
      <c r="O42" s="20"/>
      <c r="P42" s="20"/>
      <c r="Q42" s="20"/>
      <c r="R42" s="18"/>
      <c r="S42" s="21"/>
      <c r="T42" s="13"/>
      <c r="U42" s="13"/>
    </row>
    <row r="43" ht="27" spans="1:21">
      <c r="A43" s="17">
        <v>40</v>
      </c>
      <c r="B43" s="18" t="s">
        <v>163</v>
      </c>
      <c r="C43" s="18" t="s">
        <v>164</v>
      </c>
      <c r="D43" s="19">
        <f>1161-7</f>
        <v>1154</v>
      </c>
      <c r="E43" s="19">
        <f>1172</f>
        <v>1172</v>
      </c>
      <c r="F43" s="20">
        <f>31500-180</f>
        <v>31320</v>
      </c>
      <c r="G43" s="20"/>
      <c r="H43" s="20"/>
      <c r="I43" s="20"/>
      <c r="J43" s="20"/>
      <c r="K43" s="20"/>
      <c r="L43" s="24">
        <f>2865+185+75.4</f>
        <v>3125.4</v>
      </c>
      <c r="M43" s="20"/>
      <c r="N43" s="20"/>
      <c r="O43" s="20"/>
      <c r="P43" s="20"/>
      <c r="Q43" s="20"/>
      <c r="R43" s="18"/>
      <c r="S43" s="21"/>
      <c r="T43" s="35" t="s">
        <v>165</v>
      </c>
      <c r="U43" s="35" t="s">
        <v>166</v>
      </c>
    </row>
    <row r="44" spans="1:21">
      <c r="A44" s="17">
        <v>41</v>
      </c>
      <c r="B44" s="18" t="s">
        <v>163</v>
      </c>
      <c r="C44" s="18" t="s">
        <v>167</v>
      </c>
      <c r="D44" s="19">
        <v>479</v>
      </c>
      <c r="E44" s="19">
        <v>1113</v>
      </c>
      <c r="F44" s="20">
        <f>7189-6-1.25-8.8</f>
        <v>7172.95</v>
      </c>
      <c r="G44" s="20"/>
      <c r="H44" s="20"/>
      <c r="I44" s="20"/>
      <c r="J44" s="20"/>
      <c r="K44" s="20"/>
      <c r="L44" s="20">
        <v>2739</v>
      </c>
      <c r="M44" s="20"/>
      <c r="N44" s="20"/>
      <c r="O44" s="20"/>
      <c r="P44" s="20"/>
      <c r="Q44" s="20"/>
      <c r="R44" s="18"/>
      <c r="S44" s="21"/>
      <c r="T44" s="13"/>
      <c r="U44" s="13"/>
    </row>
    <row r="45" ht="18" spans="1:21">
      <c r="A45" s="17">
        <v>42</v>
      </c>
      <c r="B45" s="18" t="s">
        <v>168</v>
      </c>
      <c r="C45" s="18" t="s">
        <v>169</v>
      </c>
      <c r="D45" s="19">
        <v>284</v>
      </c>
      <c r="E45" s="19"/>
      <c r="F45" s="20">
        <f>2151-6</f>
        <v>2145</v>
      </c>
      <c r="G45" s="20"/>
      <c r="H45" s="20"/>
      <c r="I45" s="20"/>
      <c r="J45" s="20"/>
      <c r="K45" s="20"/>
      <c r="L45" s="20"/>
      <c r="M45" s="20"/>
      <c r="N45" s="20"/>
      <c r="O45" s="20"/>
      <c r="P45" s="20"/>
      <c r="Q45" s="20"/>
      <c r="R45" s="18"/>
      <c r="S45" s="21"/>
      <c r="T45" s="13"/>
      <c r="U45" s="13"/>
    </row>
    <row r="46" s="2" customFormat="1" spans="1:21">
      <c r="A46" s="17">
        <v>43</v>
      </c>
      <c r="B46" s="26" t="s">
        <v>168</v>
      </c>
      <c r="C46" s="26" t="s">
        <v>170</v>
      </c>
      <c r="D46" s="27">
        <v>63</v>
      </c>
      <c r="E46" s="27">
        <v>36</v>
      </c>
      <c r="F46" s="24">
        <v>618</v>
      </c>
      <c r="G46" s="24"/>
      <c r="H46" s="24"/>
      <c r="I46" s="24"/>
      <c r="J46" s="24"/>
      <c r="K46" s="24"/>
      <c r="L46" s="24"/>
      <c r="M46" s="24"/>
      <c r="N46" s="24"/>
      <c r="O46" s="24"/>
      <c r="P46" s="24"/>
      <c r="Q46" s="24"/>
      <c r="R46" s="26"/>
      <c r="S46" s="28"/>
      <c r="T46" s="36"/>
      <c r="U46" s="36"/>
    </row>
    <row r="47" spans="1:21">
      <c r="A47" s="17">
        <v>44</v>
      </c>
      <c r="B47" s="18" t="s">
        <v>171</v>
      </c>
      <c r="C47" s="18" t="s">
        <v>172</v>
      </c>
      <c r="D47" s="19">
        <v>20</v>
      </c>
      <c r="E47" s="19"/>
      <c r="F47" s="20">
        <v>200</v>
      </c>
      <c r="G47" s="20"/>
      <c r="H47" s="20"/>
      <c r="I47" s="20"/>
      <c r="J47" s="20"/>
      <c r="K47" s="20"/>
      <c r="L47" s="20"/>
      <c r="M47" s="20"/>
      <c r="N47" s="20"/>
      <c r="O47" s="20"/>
      <c r="P47" s="20"/>
      <c r="Q47" s="20"/>
      <c r="R47" s="18"/>
      <c r="S47" s="21"/>
      <c r="T47" s="13"/>
      <c r="U47" s="13"/>
    </row>
    <row r="48" spans="1:21">
      <c r="A48" s="17">
        <v>45</v>
      </c>
      <c r="B48" s="18" t="s">
        <v>173</v>
      </c>
      <c r="C48" s="18" t="s">
        <v>174</v>
      </c>
      <c r="D48" s="19"/>
      <c r="E48" s="19"/>
      <c r="F48" s="20">
        <v>441</v>
      </c>
      <c r="G48" s="20">
        <v>441</v>
      </c>
      <c r="H48" s="20"/>
      <c r="I48" s="20"/>
      <c r="J48" s="20"/>
      <c r="K48" s="20"/>
      <c r="L48" s="20">
        <v>54</v>
      </c>
      <c r="M48" s="20"/>
      <c r="N48" s="20"/>
      <c r="O48" s="20"/>
      <c r="P48" s="20"/>
      <c r="Q48" s="20"/>
      <c r="R48" s="18"/>
      <c r="S48" s="21"/>
      <c r="T48" s="13"/>
      <c r="U48" s="13"/>
    </row>
    <row r="49" spans="1:21 16384:16384">
      <c r="A49" s="17">
        <v>46</v>
      </c>
      <c r="B49" s="18" t="s">
        <v>175</v>
      </c>
      <c r="C49" s="18" t="s">
        <v>176</v>
      </c>
      <c r="D49" s="19">
        <v>45</v>
      </c>
      <c r="E49" s="19"/>
      <c r="F49" s="20"/>
      <c r="G49" s="20"/>
      <c r="H49" s="20"/>
      <c r="I49" s="20"/>
      <c r="J49" s="20"/>
      <c r="K49" s="20"/>
      <c r="L49" s="20"/>
      <c r="M49" s="20"/>
      <c r="N49" s="20"/>
      <c r="O49" s="20"/>
      <c r="P49" s="20"/>
      <c r="Q49" s="20"/>
      <c r="R49" s="18"/>
      <c r="S49" s="21"/>
      <c r="T49" s="13"/>
      <c r="U49" s="13"/>
    </row>
    <row r="50" spans="1:21 16384:16384">
      <c r="A50" s="17">
        <v>47</v>
      </c>
      <c r="B50" s="18" t="s">
        <v>177</v>
      </c>
      <c r="C50" s="18" t="s">
        <v>178</v>
      </c>
      <c r="D50" s="18">
        <v>146</v>
      </c>
      <c r="E50" s="19"/>
      <c r="F50" s="20">
        <v>1443.5</v>
      </c>
      <c r="G50" s="20"/>
      <c r="H50" s="20"/>
      <c r="I50" s="20"/>
      <c r="J50" s="20"/>
      <c r="K50" s="20"/>
      <c r="L50" s="20">
        <v>378</v>
      </c>
      <c r="M50" s="20"/>
      <c r="N50" s="20"/>
      <c r="O50" s="20"/>
      <c r="P50" s="20"/>
      <c r="Q50" s="20"/>
      <c r="R50" s="18"/>
      <c r="S50" s="21"/>
      <c r="T50" s="13"/>
      <c r="U50" s="13"/>
    </row>
    <row r="51" s="2" customFormat="1" spans="1:21 16384:16384">
      <c r="A51" s="17">
        <v>48</v>
      </c>
      <c r="B51" s="26" t="s">
        <v>179</v>
      </c>
      <c r="C51" s="26" t="s">
        <v>180</v>
      </c>
      <c r="D51" s="26">
        <v>158</v>
      </c>
      <c r="E51" s="26"/>
      <c r="F51" s="24">
        <v>709.42</v>
      </c>
      <c r="G51" s="24"/>
      <c r="H51" s="24"/>
      <c r="I51" s="24"/>
      <c r="J51" s="24"/>
      <c r="K51" s="24"/>
      <c r="L51" s="24">
        <v>728.1</v>
      </c>
      <c r="M51" s="24"/>
      <c r="N51" s="24"/>
      <c r="O51" s="24"/>
      <c r="P51" s="24"/>
      <c r="Q51" s="24"/>
      <c r="R51" s="26"/>
      <c r="S51" s="28"/>
      <c r="T51" s="36"/>
      <c r="U51" s="36"/>
    </row>
    <row r="52" s="3" customFormat="1" spans="1:21 16384:16384">
      <c r="A52" s="37" t="s">
        <v>181</v>
      </c>
      <c r="B52" s="38"/>
      <c r="C52" s="39"/>
      <c r="D52" s="40">
        <f>SUM(D4:D51)</f>
        <v>9301</v>
      </c>
      <c r="E52" s="40">
        <f>SUM(E4:E51)</f>
        <v>20242</v>
      </c>
      <c r="F52" s="41">
        <f>SUM(F4:F51)</f>
        <v>418014.885</v>
      </c>
      <c r="G52" s="41">
        <f t="shared" ref="G52:S52" si="0">SUM(G4:G51)</f>
        <v>121958.33</v>
      </c>
      <c r="H52" s="41">
        <f t="shared" si="0"/>
        <v>0</v>
      </c>
      <c r="I52" s="41">
        <f t="shared" si="0"/>
        <v>0</v>
      </c>
      <c r="J52" s="41">
        <f t="shared" si="0"/>
        <v>12650.06</v>
      </c>
      <c r="K52" s="41">
        <f t="shared" si="0"/>
        <v>0</v>
      </c>
      <c r="L52" s="41">
        <f t="shared" si="0"/>
        <v>15317.1</v>
      </c>
      <c r="M52" s="41">
        <f t="shared" si="0"/>
        <v>0</v>
      </c>
      <c r="N52" s="41">
        <f t="shared" si="0"/>
        <v>414</v>
      </c>
      <c r="O52" s="41">
        <f t="shared" si="0"/>
        <v>140</v>
      </c>
      <c r="P52" s="41">
        <f t="shared" si="0"/>
        <v>0</v>
      </c>
      <c r="Q52" s="41">
        <f t="shared" si="0"/>
        <v>117.6</v>
      </c>
      <c r="R52" s="40">
        <f t="shared" si="0"/>
        <v>25</v>
      </c>
      <c r="S52" s="41">
        <f t="shared" si="0"/>
        <v>0</v>
      </c>
      <c r="T52" s="42"/>
      <c r="U52" s="42"/>
    </row>
    <row r="53" ht="18" spans="1:21 16384:16384">
      <c r="A53" s="31">
        <v>49</v>
      </c>
      <c r="B53" s="18" t="s">
        <v>182</v>
      </c>
      <c r="C53" s="18" t="s">
        <v>183</v>
      </c>
      <c r="D53" s="19">
        <v>140</v>
      </c>
      <c r="E53" s="19">
        <v>6081</v>
      </c>
      <c r="F53" s="20">
        <f>182868-22</f>
        <v>182846</v>
      </c>
      <c r="G53" s="20">
        <v>69342.2</v>
      </c>
      <c r="H53" s="20"/>
      <c r="I53" s="20"/>
      <c r="J53" s="20">
        <v>1621</v>
      </c>
      <c r="K53" s="20"/>
      <c r="L53" s="20"/>
      <c r="M53" s="20"/>
      <c r="N53" s="20"/>
      <c r="O53" s="20"/>
      <c r="P53" s="20"/>
      <c r="Q53" s="20"/>
      <c r="R53" s="18"/>
      <c r="S53" s="21"/>
      <c r="T53" s="13"/>
      <c r="U53" s="13"/>
    </row>
    <row r="54" ht="18" spans="1:21 16384:16384">
      <c r="A54" s="31">
        <v>50</v>
      </c>
      <c r="B54" s="18" t="s">
        <v>184</v>
      </c>
      <c r="C54" s="18" t="s">
        <v>185</v>
      </c>
      <c r="D54" s="18">
        <v>936</v>
      </c>
      <c r="E54" s="18"/>
      <c r="F54" s="20">
        <f>936</f>
        <v>936</v>
      </c>
      <c r="G54" s="20"/>
      <c r="H54" s="20"/>
      <c r="I54" s="20"/>
      <c r="J54" s="20"/>
      <c r="K54" s="20"/>
      <c r="L54" s="20"/>
      <c r="M54" s="20"/>
      <c r="N54" s="20"/>
      <c r="O54" s="20"/>
      <c r="P54" s="20"/>
      <c r="Q54" s="20"/>
      <c r="R54" s="18"/>
      <c r="S54" s="21"/>
      <c r="T54" s="13"/>
      <c r="U54" s="13"/>
    </row>
    <row r="55" s="1" customFormat="1" ht="18" spans="1:21 16384:16384">
      <c r="A55" s="31">
        <v>51</v>
      </c>
      <c r="B55" s="17" t="s">
        <v>186</v>
      </c>
      <c r="C55" s="17" t="s">
        <v>187</v>
      </c>
      <c r="D55" s="17"/>
      <c r="E55" s="17">
        <f>5971-268</f>
        <v>5703</v>
      </c>
      <c r="F55" s="32">
        <f>136851-5-2.5-6.78-5-6344.54</f>
        <v>130487.18</v>
      </c>
      <c r="G55" s="32">
        <f>136851-5-2.5-6.78-5-6344.54</f>
        <v>130487.18</v>
      </c>
      <c r="H55" s="32"/>
      <c r="I55" s="32"/>
      <c r="J55" s="32">
        <f>15674-3635.46</f>
        <v>12038.54</v>
      </c>
      <c r="K55" s="32"/>
      <c r="L55" s="32"/>
      <c r="M55" s="32">
        <v>2662</v>
      </c>
      <c r="N55" s="32">
        <v>16</v>
      </c>
      <c r="O55" s="32">
        <v>358</v>
      </c>
      <c r="P55" s="32">
        <v>1798</v>
      </c>
      <c r="Q55" s="32">
        <f>75-4</f>
        <v>71</v>
      </c>
      <c r="R55" s="17">
        <v>60</v>
      </c>
      <c r="S55" s="33"/>
      <c r="T55" s="34"/>
      <c r="U55" s="34"/>
    </row>
    <row r="56" spans="1:21 16384:16384">
      <c r="A56" s="31">
        <v>52</v>
      </c>
      <c r="B56" s="43" t="s">
        <v>188</v>
      </c>
      <c r="C56" s="44" t="s">
        <v>189</v>
      </c>
      <c r="D56" s="45">
        <v>123</v>
      </c>
      <c r="E56" s="45"/>
      <c r="F56" s="46">
        <v>117.2</v>
      </c>
      <c r="G56" s="20"/>
      <c r="H56" s="20"/>
      <c r="I56" s="20"/>
      <c r="J56" s="20"/>
      <c r="K56" s="20"/>
      <c r="L56" s="20"/>
      <c r="M56" s="20"/>
      <c r="N56" s="20"/>
      <c r="O56" s="20"/>
      <c r="P56" s="20"/>
      <c r="Q56" s="20"/>
      <c r="R56" s="18"/>
      <c r="S56" s="21"/>
      <c r="T56" s="13"/>
      <c r="U56" s="13"/>
    </row>
    <row r="57" ht="18" spans="1:21 16384:16384">
      <c r="A57" s="31">
        <v>53</v>
      </c>
      <c r="B57" s="18" t="s">
        <v>190</v>
      </c>
      <c r="C57" s="18"/>
      <c r="D57" s="18"/>
      <c r="E57" s="18">
        <v>307</v>
      </c>
      <c r="F57" s="20">
        <v>14030.61</v>
      </c>
      <c r="G57" s="20">
        <v>14030.61</v>
      </c>
      <c r="H57" s="20"/>
      <c r="I57" s="20"/>
      <c r="J57" s="20">
        <v>1456.73</v>
      </c>
      <c r="K57" s="20"/>
      <c r="L57" s="20"/>
      <c r="M57" s="20"/>
      <c r="N57" s="20"/>
      <c r="O57" s="20"/>
      <c r="P57" s="20"/>
      <c r="Q57" s="20"/>
      <c r="R57" s="18"/>
      <c r="S57" s="20"/>
      <c r="T57" s="13"/>
      <c r="U57" s="13"/>
    </row>
    <row r="58" s="1" customFormat="1" spans="1:21 16384:16384">
      <c r="A58" s="31">
        <v>54</v>
      </c>
      <c r="B58" s="17" t="s">
        <v>191</v>
      </c>
      <c r="C58" s="17" t="s">
        <v>192</v>
      </c>
      <c r="D58" s="17">
        <f>685-31</f>
        <v>654</v>
      </c>
      <c r="E58" s="17">
        <v>170</v>
      </c>
      <c r="F58" s="32">
        <f>11005-1-2-640</f>
        <v>10362</v>
      </c>
      <c r="G58" s="32"/>
      <c r="H58" s="32"/>
      <c r="I58" s="32"/>
      <c r="J58" s="32"/>
      <c r="K58" s="32"/>
      <c r="L58" s="24">
        <v>1580</v>
      </c>
      <c r="M58" s="32"/>
      <c r="N58" s="32"/>
      <c r="O58" s="32"/>
      <c r="P58" s="32"/>
      <c r="Q58" s="32"/>
      <c r="R58" s="17"/>
      <c r="S58" s="33"/>
      <c r="T58" s="47" t="s">
        <v>193</v>
      </c>
      <c r="U58" s="34"/>
    </row>
    <row r="59" s="1" customFormat="1" spans="1:21 16384:16384">
      <c r="A59" s="31">
        <v>55</v>
      </c>
      <c r="B59" s="17" t="s">
        <v>191</v>
      </c>
      <c r="C59" s="17" t="s">
        <v>194</v>
      </c>
      <c r="D59" s="17">
        <v>337</v>
      </c>
      <c r="E59" s="17">
        <v>383</v>
      </c>
      <c r="F59" s="32">
        <v>6198</v>
      </c>
      <c r="G59" s="32"/>
      <c r="H59" s="32"/>
      <c r="I59" s="32"/>
      <c r="J59" s="32"/>
      <c r="K59" s="32"/>
      <c r="L59" s="32"/>
      <c r="M59" s="32"/>
      <c r="N59" s="32"/>
      <c r="O59" s="32"/>
      <c r="P59" s="32"/>
      <c r="Q59" s="32"/>
      <c r="R59" s="17"/>
      <c r="S59" s="33"/>
      <c r="T59" s="34"/>
      <c r="U59" s="34"/>
    </row>
    <row r="60" ht="18" spans="1:21 16384:16384">
      <c r="A60" s="31">
        <v>56</v>
      </c>
      <c r="B60" s="18" t="s">
        <v>195</v>
      </c>
      <c r="C60" s="18" t="s">
        <v>196</v>
      </c>
      <c r="D60" s="18">
        <v>55</v>
      </c>
      <c r="E60" s="18"/>
      <c r="F60" s="20">
        <v>1084</v>
      </c>
      <c r="G60" s="20"/>
      <c r="H60" s="22"/>
      <c r="I60" s="22"/>
      <c r="J60" s="20"/>
      <c r="K60" s="22"/>
      <c r="L60" s="20"/>
      <c r="M60" s="20"/>
      <c r="N60" s="20"/>
      <c r="O60" s="20"/>
      <c r="P60" s="20"/>
      <c r="Q60" s="20"/>
      <c r="R60" s="18"/>
      <c r="S60" s="22"/>
      <c r="T60" s="13"/>
      <c r="U60" s="13"/>
      <c r="XFD60">
        <f>SUM(A60:XFC60)</f>
        <v>1195</v>
      </c>
    </row>
    <row r="61" s="1" customFormat="1" spans="1:21 16384:16384">
      <c r="A61" s="31">
        <v>57</v>
      </c>
      <c r="B61" s="17" t="s">
        <v>197</v>
      </c>
      <c r="C61" s="17" t="s">
        <v>198</v>
      </c>
      <c r="D61" s="17">
        <f>213-19</f>
        <v>194</v>
      </c>
      <c r="E61" s="17">
        <v>475</v>
      </c>
      <c r="F61" s="32">
        <f>4375</f>
        <v>4375</v>
      </c>
      <c r="G61" s="32"/>
      <c r="H61" s="32"/>
      <c r="I61" s="32"/>
      <c r="J61" s="32"/>
      <c r="K61" s="32"/>
      <c r="L61" s="32"/>
      <c r="M61" s="32"/>
      <c r="N61" s="32"/>
      <c r="O61" s="32"/>
      <c r="P61" s="32"/>
      <c r="Q61" s="32"/>
      <c r="R61" s="17"/>
      <c r="S61" s="33"/>
      <c r="T61" s="34"/>
      <c r="U61" s="34"/>
    </row>
    <row r="62" ht="27" spans="1:21 16384:16384">
      <c r="A62" s="31">
        <v>58</v>
      </c>
      <c r="B62" s="18" t="s">
        <v>199</v>
      </c>
      <c r="C62" s="18" t="s">
        <v>200</v>
      </c>
      <c r="D62" s="18"/>
      <c r="E62" s="18">
        <v>500</v>
      </c>
      <c r="F62" s="20">
        <v>4810</v>
      </c>
      <c r="G62" s="20"/>
      <c r="H62" s="20"/>
      <c r="I62" s="20"/>
      <c r="J62" s="20"/>
      <c r="K62" s="20"/>
      <c r="L62" s="20"/>
      <c r="M62" s="20"/>
      <c r="N62" s="20"/>
      <c r="O62" s="20"/>
      <c r="P62" s="20"/>
      <c r="Q62" s="20"/>
      <c r="R62" s="18"/>
      <c r="S62" s="21"/>
      <c r="T62" s="13"/>
      <c r="U62" s="13"/>
    </row>
    <row r="63" ht="18" spans="1:21 16384:16384">
      <c r="A63" s="31">
        <v>59</v>
      </c>
      <c r="B63" s="26" t="s">
        <v>201</v>
      </c>
      <c r="C63" s="26" t="s">
        <v>202</v>
      </c>
      <c r="D63" s="26"/>
      <c r="E63" s="26">
        <v>73</v>
      </c>
      <c r="F63" s="24">
        <v>1017</v>
      </c>
      <c r="G63" s="24">
        <v>1017</v>
      </c>
      <c r="H63" s="24"/>
      <c r="I63" s="24"/>
      <c r="J63" s="24">
        <v>279</v>
      </c>
      <c r="K63" s="24"/>
      <c r="L63" s="24"/>
      <c r="M63" s="24"/>
      <c r="N63" s="24"/>
      <c r="O63" s="24">
        <v>104</v>
      </c>
      <c r="P63" s="24"/>
      <c r="Q63" s="24">
        <v>18</v>
      </c>
      <c r="R63" s="26">
        <v>2</v>
      </c>
      <c r="S63" s="28"/>
      <c r="T63" s="29" t="s">
        <v>203</v>
      </c>
      <c r="U63" s="13"/>
    </row>
    <row r="64" spans="1:21 16384:16384">
      <c r="A64" s="31">
        <v>60</v>
      </c>
      <c r="B64" s="18" t="s">
        <v>204</v>
      </c>
      <c r="C64" s="18" t="s">
        <v>205</v>
      </c>
      <c r="D64" s="18">
        <v>395</v>
      </c>
      <c r="E64" s="18">
        <v>432</v>
      </c>
      <c r="F64" s="20">
        <v>5014</v>
      </c>
      <c r="G64" s="20"/>
      <c r="H64" s="20"/>
      <c r="I64" s="20"/>
      <c r="J64" s="20"/>
      <c r="K64" s="20"/>
      <c r="L64" s="20">
        <v>2093</v>
      </c>
      <c r="M64" s="20"/>
      <c r="N64" s="20"/>
      <c r="O64" s="20"/>
      <c r="P64" s="20"/>
      <c r="Q64" s="20"/>
      <c r="R64" s="18"/>
      <c r="S64" s="21"/>
      <c r="T64" s="13"/>
      <c r="U64" s="13"/>
    </row>
    <row r="65" spans="1:21">
      <c r="A65" s="31">
        <v>61</v>
      </c>
      <c r="B65" s="18" t="s">
        <v>206</v>
      </c>
      <c r="C65" s="18" t="s">
        <v>207</v>
      </c>
      <c r="D65" s="18"/>
      <c r="E65" s="18">
        <v>257</v>
      </c>
      <c r="F65" s="20">
        <v>8152</v>
      </c>
      <c r="G65" s="20">
        <v>8152</v>
      </c>
      <c r="H65" s="20"/>
      <c r="I65" s="20"/>
      <c r="J65" s="20">
        <v>813</v>
      </c>
      <c r="K65" s="20"/>
      <c r="L65" s="20"/>
      <c r="M65" s="20"/>
      <c r="N65" s="20"/>
      <c r="O65" s="20"/>
      <c r="P65" s="20"/>
      <c r="Q65" s="20"/>
      <c r="R65" s="18"/>
      <c r="S65" s="21"/>
      <c r="T65" s="13"/>
      <c r="U65" s="13"/>
    </row>
    <row r="66" spans="1:21">
      <c r="A66" s="31">
        <v>62</v>
      </c>
      <c r="B66" s="18" t="s">
        <v>208</v>
      </c>
      <c r="C66" s="18" t="s">
        <v>209</v>
      </c>
      <c r="D66" s="18"/>
      <c r="E66" s="18">
        <v>1222</v>
      </c>
      <c r="F66" s="20">
        <v>33375</v>
      </c>
      <c r="G66" s="20">
        <v>33375</v>
      </c>
      <c r="H66" s="20"/>
      <c r="I66" s="20"/>
      <c r="J66" s="20">
        <v>2307</v>
      </c>
      <c r="K66" s="20"/>
      <c r="L66" s="20"/>
      <c r="M66" s="20"/>
      <c r="N66" s="20">
        <v>16</v>
      </c>
      <c r="O66" s="20"/>
      <c r="P66" s="20"/>
      <c r="Q66" s="20">
        <v>16</v>
      </c>
      <c r="R66" s="18">
        <v>15</v>
      </c>
      <c r="S66" s="21"/>
      <c r="T66" s="13"/>
      <c r="U66" s="13"/>
    </row>
    <row r="67" ht="18" spans="1:21">
      <c r="A67" s="31">
        <v>63</v>
      </c>
      <c r="B67" s="18" t="s">
        <v>210</v>
      </c>
      <c r="C67" s="18" t="s">
        <v>211</v>
      </c>
      <c r="D67" s="18">
        <v>504</v>
      </c>
      <c r="E67" s="18">
        <v>206</v>
      </c>
      <c r="F67" s="20">
        <v>3915</v>
      </c>
      <c r="G67" s="20"/>
      <c r="H67" s="20"/>
      <c r="I67" s="20"/>
      <c r="J67" s="20"/>
      <c r="K67" s="20"/>
      <c r="L67" s="20">
        <v>1701</v>
      </c>
      <c r="M67" s="20"/>
      <c r="N67" s="20"/>
      <c r="O67" s="20"/>
      <c r="P67" s="20"/>
      <c r="Q67" s="20"/>
      <c r="R67" s="18"/>
      <c r="S67" s="21"/>
      <c r="T67" s="13"/>
      <c r="U67" s="13"/>
    </row>
    <row r="68" s="2" customFormat="1" spans="1:21">
      <c r="A68" s="31">
        <v>64</v>
      </c>
      <c r="B68" s="26" t="s">
        <v>212</v>
      </c>
      <c r="C68" s="26" t="s">
        <v>213</v>
      </c>
      <c r="D68" s="26">
        <v>31</v>
      </c>
      <c r="E68" s="26"/>
      <c r="F68" s="24">
        <v>31</v>
      </c>
      <c r="G68" s="24"/>
      <c r="H68" s="24"/>
      <c r="I68" s="24"/>
      <c r="J68" s="24"/>
      <c r="K68" s="24"/>
      <c r="L68" s="24"/>
      <c r="M68" s="24"/>
      <c r="N68" s="24"/>
      <c r="O68" s="24"/>
      <c r="P68" s="24"/>
      <c r="Q68" s="24"/>
      <c r="R68" s="26"/>
      <c r="S68" s="28"/>
      <c r="T68" s="36"/>
      <c r="U68" s="36"/>
    </row>
    <row r="69" spans="1:21">
      <c r="A69" s="31">
        <v>65</v>
      </c>
      <c r="B69" s="18" t="s">
        <v>214</v>
      </c>
      <c r="C69" s="18" t="s">
        <v>215</v>
      </c>
      <c r="D69" s="18">
        <v>142</v>
      </c>
      <c r="E69" s="18"/>
      <c r="F69" s="20">
        <v>142</v>
      </c>
      <c r="G69" s="20"/>
      <c r="H69" s="20"/>
      <c r="I69" s="20"/>
      <c r="J69" s="20"/>
      <c r="K69" s="20"/>
      <c r="L69" s="20"/>
      <c r="M69" s="20"/>
      <c r="N69" s="20"/>
      <c r="O69" s="20"/>
      <c r="P69" s="20"/>
      <c r="Q69" s="20"/>
      <c r="R69" s="18"/>
      <c r="S69" s="21"/>
      <c r="T69" s="13"/>
      <c r="U69" s="13"/>
    </row>
    <row r="70" spans="1:21">
      <c r="A70" s="31">
        <v>66</v>
      </c>
      <c r="B70" s="18" t="s">
        <v>216</v>
      </c>
      <c r="C70" s="18" t="s">
        <v>205</v>
      </c>
      <c r="D70" s="18">
        <f>353-1</f>
        <v>352</v>
      </c>
      <c r="E70" s="18"/>
      <c r="F70" s="20">
        <f>353-2.25</f>
        <v>350.75</v>
      </c>
      <c r="G70" s="20"/>
      <c r="H70" s="20"/>
      <c r="I70" s="20"/>
      <c r="J70" s="20"/>
      <c r="K70" s="20"/>
      <c r="L70" s="20"/>
      <c r="M70" s="20"/>
      <c r="N70" s="20"/>
      <c r="O70" s="20"/>
      <c r="P70" s="20"/>
      <c r="Q70" s="20"/>
      <c r="R70" s="18"/>
      <c r="S70" s="21"/>
      <c r="T70" s="13"/>
      <c r="U70" s="13"/>
    </row>
    <row r="71" spans="1:21">
      <c r="A71" s="31">
        <v>67</v>
      </c>
      <c r="B71" s="18" t="s">
        <v>217</v>
      </c>
      <c r="C71" s="18" t="s">
        <v>215</v>
      </c>
      <c r="D71" s="18">
        <v>144</v>
      </c>
      <c r="E71" s="18"/>
      <c r="F71" s="20">
        <v>144</v>
      </c>
      <c r="G71" s="20"/>
      <c r="H71" s="20"/>
      <c r="I71" s="20"/>
      <c r="J71" s="20"/>
      <c r="K71" s="20"/>
      <c r="L71" s="20"/>
      <c r="M71" s="20"/>
      <c r="N71" s="20"/>
      <c r="O71" s="20"/>
      <c r="P71" s="20"/>
      <c r="Q71" s="20"/>
      <c r="R71" s="18"/>
      <c r="S71" s="21"/>
      <c r="T71" s="13"/>
      <c r="U71" s="13"/>
    </row>
    <row r="72" ht="18" spans="1:21">
      <c r="A72" s="31">
        <v>68</v>
      </c>
      <c r="B72" s="18" t="s">
        <v>131</v>
      </c>
      <c r="C72" s="18" t="s">
        <v>205</v>
      </c>
      <c r="D72" s="18">
        <f>423-1-1</f>
        <v>421</v>
      </c>
      <c r="E72" s="18">
        <f>308</f>
        <v>308</v>
      </c>
      <c r="F72" s="20">
        <f>6190-9-24</f>
        <v>6157</v>
      </c>
      <c r="G72" s="20"/>
      <c r="H72" s="20"/>
      <c r="I72" s="20"/>
      <c r="J72" s="20"/>
      <c r="K72" s="20"/>
      <c r="L72" s="24">
        <f>2156-10.5+84</f>
        <v>2229.5</v>
      </c>
      <c r="M72" s="20"/>
      <c r="N72" s="20"/>
      <c r="O72" s="20"/>
      <c r="P72" s="20"/>
      <c r="Q72" s="20"/>
      <c r="R72" s="18"/>
      <c r="S72" s="21"/>
      <c r="T72" s="35" t="s">
        <v>218</v>
      </c>
      <c r="U72" s="13"/>
    </row>
    <row r="73" s="3" customFormat="1" spans="1:21">
      <c r="A73" s="48" t="s">
        <v>219</v>
      </c>
      <c r="B73" s="49"/>
      <c r="C73" s="50"/>
      <c r="D73" s="40">
        <f>SUM(D53:D72)</f>
        <v>4428</v>
      </c>
      <c r="E73" s="40">
        <f t="shared" ref="E73:S73" si="1">SUM(E53:E72)</f>
        <v>16117</v>
      </c>
      <c r="F73" s="41">
        <f t="shared" si="1"/>
        <v>413543.74</v>
      </c>
      <c r="G73" s="41">
        <f t="shared" si="1"/>
        <v>256403.99</v>
      </c>
      <c r="H73" s="41">
        <f t="shared" si="1"/>
        <v>0</v>
      </c>
      <c r="I73" s="41">
        <f t="shared" si="1"/>
        <v>0</v>
      </c>
      <c r="J73" s="41">
        <f t="shared" si="1"/>
        <v>18515.27</v>
      </c>
      <c r="K73" s="41">
        <f t="shared" si="1"/>
        <v>0</v>
      </c>
      <c r="L73" s="41">
        <f t="shared" si="1"/>
        <v>7603.5</v>
      </c>
      <c r="M73" s="41">
        <f t="shared" si="1"/>
        <v>2662</v>
      </c>
      <c r="N73" s="41">
        <f t="shared" si="1"/>
        <v>32</v>
      </c>
      <c r="O73" s="41">
        <f t="shared" si="1"/>
        <v>462</v>
      </c>
      <c r="P73" s="41">
        <f t="shared" si="1"/>
        <v>1798</v>
      </c>
      <c r="Q73" s="41">
        <f t="shared" si="1"/>
        <v>105</v>
      </c>
      <c r="R73" s="40">
        <f t="shared" si="1"/>
        <v>77</v>
      </c>
      <c r="S73" s="41">
        <f t="shared" si="1"/>
        <v>0</v>
      </c>
      <c r="T73" s="42"/>
      <c r="U73" s="42"/>
    </row>
    <row r="74" ht="18" spans="1:21">
      <c r="A74" s="17">
        <v>69</v>
      </c>
      <c r="B74" s="18" t="s">
        <v>220</v>
      </c>
      <c r="C74" s="18" t="s">
        <v>221</v>
      </c>
      <c r="D74" s="23">
        <f>785</f>
        <v>785</v>
      </c>
      <c r="E74" s="23">
        <f>4452</f>
        <v>4452</v>
      </c>
      <c r="F74" s="20">
        <f>40989-64-2-1151</f>
        <v>39772</v>
      </c>
      <c r="G74" s="20"/>
      <c r="H74" s="20"/>
      <c r="I74" s="20"/>
      <c r="J74" s="20"/>
      <c r="K74" s="20"/>
      <c r="L74" s="20"/>
      <c r="M74" s="20"/>
      <c r="N74" s="20"/>
      <c r="O74" s="20"/>
      <c r="P74" s="20"/>
      <c r="Q74" s="20"/>
      <c r="R74" s="23"/>
      <c r="S74" s="20"/>
      <c r="T74" s="13"/>
      <c r="U74" s="13"/>
    </row>
    <row r="75" ht="18" spans="1:21">
      <c r="A75" s="17">
        <v>70</v>
      </c>
      <c r="B75" s="18" t="s">
        <v>222</v>
      </c>
      <c r="C75" s="18" t="s">
        <v>223</v>
      </c>
      <c r="D75" s="18">
        <v>246</v>
      </c>
      <c r="E75" s="18"/>
      <c r="F75" s="20">
        <v>3574</v>
      </c>
      <c r="G75" s="20"/>
      <c r="H75" s="20"/>
      <c r="I75" s="20"/>
      <c r="J75" s="20"/>
      <c r="K75" s="20"/>
      <c r="L75" s="20"/>
      <c r="M75" s="20"/>
      <c r="N75" s="20"/>
      <c r="O75" s="20"/>
      <c r="P75" s="20"/>
      <c r="Q75" s="20"/>
      <c r="R75" s="18"/>
      <c r="S75" s="20"/>
      <c r="T75" s="13"/>
      <c r="U75" s="13"/>
    </row>
    <row r="76" s="2" customFormat="1" ht="27" spans="1:21">
      <c r="A76" s="17">
        <v>71</v>
      </c>
      <c r="B76" s="26" t="s">
        <v>224</v>
      </c>
      <c r="C76" s="26" t="s">
        <v>225</v>
      </c>
      <c r="D76" s="26"/>
      <c r="E76" s="26">
        <v>236</v>
      </c>
      <c r="F76" s="24">
        <v>7804</v>
      </c>
      <c r="G76" s="24">
        <v>7804</v>
      </c>
      <c r="H76" s="24"/>
      <c r="I76" s="24"/>
      <c r="J76" s="24"/>
      <c r="K76" s="24"/>
      <c r="L76" s="24"/>
      <c r="M76" s="24"/>
      <c r="N76" s="24"/>
      <c r="O76" s="24"/>
      <c r="P76" s="24"/>
      <c r="Q76" s="24"/>
      <c r="R76" s="26"/>
      <c r="S76" s="28"/>
      <c r="T76" s="36"/>
      <c r="U76" s="36"/>
    </row>
    <row r="77" ht="18" spans="1:21">
      <c r="A77" s="17">
        <v>72</v>
      </c>
      <c r="B77" s="18" t="s">
        <v>226</v>
      </c>
      <c r="C77" s="18" t="s">
        <v>227</v>
      </c>
      <c r="D77" s="23">
        <v>298</v>
      </c>
      <c r="E77" s="23">
        <v>904</v>
      </c>
      <c r="F77" s="20">
        <v>33411</v>
      </c>
      <c r="G77" s="20"/>
      <c r="H77" s="20"/>
      <c r="I77" s="20"/>
      <c r="J77" s="20">
        <v>530</v>
      </c>
      <c r="K77" s="20"/>
      <c r="L77" s="20">
        <v>378</v>
      </c>
      <c r="M77" s="20"/>
      <c r="N77" s="20"/>
      <c r="O77" s="20">
        <v>70</v>
      </c>
      <c r="P77" s="20"/>
      <c r="Q77" s="20"/>
      <c r="R77" s="23"/>
      <c r="S77" s="20"/>
      <c r="T77" s="13"/>
      <c r="U77" s="13"/>
    </row>
    <row r="78" spans="1:21">
      <c r="A78" s="17">
        <v>73</v>
      </c>
      <c r="B78" s="18" t="s">
        <v>228</v>
      </c>
      <c r="C78" s="18" t="s">
        <v>229</v>
      </c>
      <c r="D78" s="18">
        <f>512-3</f>
        <v>509</v>
      </c>
      <c r="E78" s="18">
        <f>1122</f>
        <v>1122</v>
      </c>
      <c r="F78" s="20">
        <v>20366.6</v>
      </c>
      <c r="G78" s="20">
        <v>13090</v>
      </c>
      <c r="H78" s="20"/>
      <c r="I78" s="20"/>
      <c r="J78" s="20"/>
      <c r="K78" s="20"/>
      <c r="L78" s="20">
        <v>3119</v>
      </c>
      <c r="M78" s="20"/>
      <c r="N78" s="20"/>
      <c r="O78" s="20"/>
      <c r="P78" s="20"/>
      <c r="Q78" s="20"/>
      <c r="R78" s="18"/>
      <c r="S78" s="20"/>
      <c r="T78" s="13"/>
      <c r="U78" s="13"/>
    </row>
    <row r="79" ht="17" customHeight="1" spans="1:21">
      <c r="A79" s="17">
        <v>74</v>
      </c>
      <c r="B79" s="18" t="s">
        <v>230</v>
      </c>
      <c r="C79" s="18"/>
      <c r="D79" s="18">
        <v>0</v>
      </c>
      <c r="E79" s="18">
        <v>3143</v>
      </c>
      <c r="F79" s="20">
        <v>90642.11</v>
      </c>
      <c r="G79" s="20">
        <v>90642.11</v>
      </c>
      <c r="H79" s="20"/>
      <c r="I79" s="20"/>
      <c r="J79" s="20">
        <v>23240</v>
      </c>
      <c r="K79" s="20">
        <v>8955</v>
      </c>
      <c r="L79" s="24">
        <f>2630+26.5</f>
        <v>2656.5</v>
      </c>
      <c r="M79" s="20"/>
      <c r="N79" s="20"/>
      <c r="O79" s="20"/>
      <c r="P79" s="20"/>
      <c r="Q79" s="24">
        <v>688</v>
      </c>
      <c r="R79" s="51">
        <v>20</v>
      </c>
      <c r="S79" s="21"/>
      <c r="T79" s="35" t="s">
        <v>231</v>
      </c>
      <c r="U79" s="35" t="s">
        <v>232</v>
      </c>
    </row>
    <row r="80" spans="1:21">
      <c r="A80" s="17">
        <v>75</v>
      </c>
      <c r="B80" s="18" t="s">
        <v>233</v>
      </c>
      <c r="C80" s="18" t="s">
        <v>234</v>
      </c>
      <c r="D80" s="18">
        <v>200</v>
      </c>
      <c r="E80" s="18">
        <v>136</v>
      </c>
      <c r="F80" s="20">
        <v>6691.79</v>
      </c>
      <c r="G80" s="20"/>
      <c r="H80" s="20"/>
      <c r="I80" s="20"/>
      <c r="J80" s="20"/>
      <c r="K80" s="20"/>
      <c r="L80" s="20"/>
      <c r="M80" s="20"/>
      <c r="N80" s="20"/>
      <c r="O80" s="20"/>
      <c r="P80" s="20"/>
      <c r="Q80" s="20"/>
      <c r="R80" s="18"/>
      <c r="S80" s="20"/>
      <c r="T80" s="13"/>
      <c r="U80" s="13"/>
    </row>
    <row r="81" spans="1:21">
      <c r="A81" s="17">
        <v>76</v>
      </c>
      <c r="B81" s="18" t="s">
        <v>235</v>
      </c>
      <c r="C81" s="18" t="s">
        <v>236</v>
      </c>
      <c r="D81" s="18">
        <v>122</v>
      </c>
      <c r="E81" s="18"/>
      <c r="F81" s="20">
        <v>753.75</v>
      </c>
      <c r="G81" s="20"/>
      <c r="H81" s="20"/>
      <c r="I81" s="20"/>
      <c r="J81" s="20"/>
      <c r="K81" s="20"/>
      <c r="L81" s="20"/>
      <c r="M81" s="20"/>
      <c r="N81" s="20"/>
      <c r="O81" s="20"/>
      <c r="P81" s="20"/>
      <c r="Q81" s="20"/>
      <c r="R81" s="18"/>
      <c r="S81" s="20"/>
      <c r="T81" s="13"/>
      <c r="U81" s="13"/>
    </row>
    <row r="82" spans="1:21">
      <c r="A82" s="17">
        <v>77</v>
      </c>
      <c r="B82" s="18" t="s">
        <v>237</v>
      </c>
      <c r="C82" s="18" t="s">
        <v>238</v>
      </c>
      <c r="D82" s="18">
        <v>138</v>
      </c>
      <c r="E82" s="18">
        <v>351</v>
      </c>
      <c r="F82" s="20">
        <v>8436.2</v>
      </c>
      <c r="G82" s="20"/>
      <c r="H82" s="20"/>
      <c r="I82" s="20"/>
      <c r="J82" s="20"/>
      <c r="K82" s="20"/>
      <c r="L82" s="20">
        <v>100</v>
      </c>
      <c r="M82" s="20"/>
      <c r="N82" s="20"/>
      <c r="O82" s="20"/>
      <c r="P82" s="20"/>
      <c r="Q82" s="20"/>
      <c r="R82" s="23"/>
      <c r="S82" s="21"/>
      <c r="T82" s="13"/>
      <c r="U82" s="13"/>
    </row>
    <row r="83" spans="1:21">
      <c r="A83" s="17">
        <v>78</v>
      </c>
      <c r="B83" s="18" t="s">
        <v>239</v>
      </c>
      <c r="C83" s="18" t="s">
        <v>238</v>
      </c>
      <c r="D83" s="18">
        <v>160</v>
      </c>
      <c r="E83" s="18">
        <v>297</v>
      </c>
      <c r="F83" s="20">
        <v>1808</v>
      </c>
      <c r="G83" s="20"/>
      <c r="H83" s="20"/>
      <c r="I83" s="20"/>
      <c r="J83" s="20"/>
      <c r="K83" s="20"/>
      <c r="L83" s="20">
        <v>825</v>
      </c>
      <c r="M83" s="20"/>
      <c r="N83" s="20"/>
      <c r="O83" s="20"/>
      <c r="P83" s="20"/>
      <c r="Q83" s="20"/>
      <c r="R83" s="23"/>
      <c r="S83" s="21"/>
      <c r="T83" s="13"/>
      <c r="U83" s="13"/>
    </row>
    <row r="84" spans="1:21">
      <c r="A84" s="17">
        <v>79</v>
      </c>
      <c r="B84" s="18" t="s">
        <v>233</v>
      </c>
      <c r="C84" s="18" t="s">
        <v>240</v>
      </c>
      <c r="D84" s="18">
        <v>97</v>
      </c>
      <c r="E84" s="18">
        <v>325</v>
      </c>
      <c r="F84" s="20">
        <v>5255</v>
      </c>
      <c r="G84" s="20"/>
      <c r="H84" s="20"/>
      <c r="I84" s="20"/>
      <c r="J84" s="20"/>
      <c r="K84" s="20"/>
      <c r="L84" s="20"/>
      <c r="M84" s="20"/>
      <c r="N84" s="20"/>
      <c r="O84" s="20"/>
      <c r="P84" s="20"/>
      <c r="Q84" s="20"/>
      <c r="R84" s="23"/>
      <c r="S84" s="21"/>
      <c r="T84" s="13"/>
      <c r="U84" s="13"/>
    </row>
    <row r="85" spans="1:21">
      <c r="A85" s="17">
        <v>80</v>
      </c>
      <c r="B85" s="18" t="s">
        <v>241</v>
      </c>
      <c r="C85" s="18" t="s">
        <v>238</v>
      </c>
      <c r="D85" s="18">
        <v>289</v>
      </c>
      <c r="E85" s="18">
        <f>145</f>
        <v>145</v>
      </c>
      <c r="F85" s="20">
        <f>3227-10-4.5</f>
        <v>3212.5</v>
      </c>
      <c r="G85" s="20"/>
      <c r="H85" s="20"/>
      <c r="I85" s="20"/>
      <c r="J85" s="20"/>
      <c r="K85" s="20"/>
      <c r="L85" s="20"/>
      <c r="M85" s="20"/>
      <c r="N85" s="20"/>
      <c r="O85" s="20"/>
      <c r="P85" s="20"/>
      <c r="Q85" s="20"/>
      <c r="R85" s="23"/>
      <c r="S85" s="21"/>
      <c r="T85" s="13"/>
      <c r="U85" s="13"/>
    </row>
    <row r="86" s="2" customFormat="1" spans="1:21">
      <c r="A86" s="17">
        <v>81</v>
      </c>
      <c r="B86" s="26" t="s">
        <v>242</v>
      </c>
      <c r="C86" s="26" t="s">
        <v>243</v>
      </c>
      <c r="D86" s="26">
        <v>109</v>
      </c>
      <c r="E86" s="26">
        <v>137</v>
      </c>
      <c r="F86" s="24">
        <v>2281.64</v>
      </c>
      <c r="G86" s="24"/>
      <c r="H86" s="24"/>
      <c r="I86" s="24"/>
      <c r="J86" s="24"/>
      <c r="K86" s="24"/>
      <c r="L86" s="24">
        <v>774</v>
      </c>
      <c r="M86" s="24"/>
      <c r="N86" s="24"/>
      <c r="O86" s="24"/>
      <c r="P86" s="24"/>
      <c r="Q86" s="24"/>
      <c r="R86" s="26"/>
      <c r="S86" s="28"/>
      <c r="T86" s="36"/>
      <c r="U86" s="36"/>
    </row>
    <row r="87" spans="1:21">
      <c r="A87" s="17">
        <v>82</v>
      </c>
      <c r="B87" s="18" t="s">
        <v>244</v>
      </c>
      <c r="C87" s="18" t="s">
        <v>245</v>
      </c>
      <c r="D87" s="18">
        <v>115</v>
      </c>
      <c r="E87" s="18"/>
      <c r="F87" s="20">
        <v>591.96</v>
      </c>
      <c r="G87" s="20"/>
      <c r="H87" s="20"/>
      <c r="I87" s="20"/>
      <c r="J87" s="20"/>
      <c r="K87" s="20"/>
      <c r="L87" s="20"/>
      <c r="M87" s="20"/>
      <c r="N87" s="20"/>
      <c r="O87" s="20"/>
      <c r="P87" s="20"/>
      <c r="Q87" s="20"/>
      <c r="R87" s="23"/>
      <c r="S87" s="21"/>
      <c r="T87" s="13"/>
      <c r="U87" s="13"/>
    </row>
    <row r="88" s="2" customFormat="1" ht="49" customHeight="1" spans="1:21">
      <c r="A88" s="17">
        <v>83</v>
      </c>
      <c r="B88" s="26" t="s">
        <v>246</v>
      </c>
      <c r="C88" s="26" t="s">
        <v>247</v>
      </c>
      <c r="D88" s="26">
        <v>72</v>
      </c>
      <c r="E88" s="26"/>
      <c r="F88" s="24">
        <v>766.53</v>
      </c>
      <c r="G88" s="24"/>
      <c r="H88" s="24"/>
      <c r="I88" s="24"/>
      <c r="J88" s="24"/>
      <c r="K88" s="24"/>
      <c r="L88" s="24">
        <v>313.6</v>
      </c>
      <c r="M88" s="24"/>
      <c r="N88" s="24"/>
      <c r="O88" s="24"/>
      <c r="P88" s="24"/>
      <c r="Q88" s="24"/>
      <c r="R88" s="26"/>
      <c r="S88" s="28"/>
      <c r="T88" s="36"/>
      <c r="U88" s="36"/>
    </row>
    <row r="89" s="2" customFormat="1" ht="27" spans="1:21">
      <c r="A89" s="17">
        <v>84</v>
      </c>
      <c r="B89" s="26" t="s">
        <v>99</v>
      </c>
      <c r="C89" s="26" t="s">
        <v>248</v>
      </c>
      <c r="D89" s="26">
        <v>136</v>
      </c>
      <c r="E89" s="26">
        <v>271</v>
      </c>
      <c r="F89" s="24">
        <v>7107.2</v>
      </c>
      <c r="G89" s="24"/>
      <c r="H89" s="24"/>
      <c r="I89" s="24"/>
      <c r="J89" s="24"/>
      <c r="K89" s="24"/>
      <c r="L89" s="24">
        <v>585</v>
      </c>
      <c r="M89" s="24"/>
      <c r="N89" s="24"/>
      <c r="O89" s="24"/>
      <c r="P89" s="24"/>
      <c r="Q89" s="24"/>
      <c r="R89" s="26"/>
      <c r="S89" s="28"/>
      <c r="T89" s="36"/>
      <c r="U89" s="36"/>
    </row>
    <row r="90" s="4" customFormat="1" ht="18" spans="1:21">
      <c r="A90" s="17">
        <v>85</v>
      </c>
      <c r="B90" s="26" t="s">
        <v>249</v>
      </c>
      <c r="C90" s="26" t="s">
        <v>250</v>
      </c>
      <c r="D90" s="26">
        <v>2810</v>
      </c>
      <c r="E90" s="26">
        <v>7397</v>
      </c>
      <c r="F90" s="24">
        <v>148586.8</v>
      </c>
      <c r="G90" s="24">
        <v>112559.8</v>
      </c>
      <c r="H90" s="24"/>
      <c r="I90" s="24"/>
      <c r="J90" s="24"/>
      <c r="K90" s="24"/>
      <c r="L90" s="24">
        <v>7730</v>
      </c>
      <c r="M90" s="24"/>
      <c r="N90" s="24"/>
      <c r="O90" s="24"/>
      <c r="P90" s="24"/>
      <c r="Q90" s="24"/>
      <c r="R90" s="26"/>
      <c r="S90" s="24"/>
      <c r="T90" s="52"/>
      <c r="U90" s="52"/>
    </row>
    <row r="91" s="4" customFormat="1" spans="1:21">
      <c r="A91" s="53" t="s">
        <v>251</v>
      </c>
      <c r="B91" s="53"/>
      <c r="C91" s="53"/>
      <c r="D91" s="53">
        <f>SUM(D74:D90)</f>
        <v>6086</v>
      </c>
      <c r="E91" s="53">
        <f t="shared" ref="E91:S91" si="2">SUM(E74:E90)</f>
        <v>18916</v>
      </c>
      <c r="F91" s="54">
        <f t="shared" si="2"/>
        <v>381061.08</v>
      </c>
      <c r="G91" s="54">
        <f t="shared" si="2"/>
        <v>224095.91</v>
      </c>
      <c r="H91" s="54">
        <f t="shared" si="2"/>
        <v>0</v>
      </c>
      <c r="I91" s="54">
        <f t="shared" si="2"/>
        <v>0</v>
      </c>
      <c r="J91" s="54">
        <f t="shared" si="2"/>
        <v>23770</v>
      </c>
      <c r="K91" s="54">
        <f t="shared" si="2"/>
        <v>8955</v>
      </c>
      <c r="L91" s="54">
        <f t="shared" si="2"/>
        <v>16481.1</v>
      </c>
      <c r="M91" s="54">
        <f t="shared" si="2"/>
        <v>0</v>
      </c>
      <c r="N91" s="54">
        <f t="shared" si="2"/>
        <v>0</v>
      </c>
      <c r="O91" s="54">
        <f t="shared" si="2"/>
        <v>70</v>
      </c>
      <c r="P91" s="54">
        <f t="shared" si="2"/>
        <v>0</v>
      </c>
      <c r="Q91" s="54">
        <f t="shared" si="2"/>
        <v>688</v>
      </c>
      <c r="R91" s="53">
        <f t="shared" si="2"/>
        <v>20</v>
      </c>
      <c r="S91" s="54">
        <f t="shared" si="2"/>
        <v>0</v>
      </c>
      <c r="T91" s="52"/>
      <c r="U91" s="52"/>
    </row>
    <row r="92" ht="18" spans="1:21">
      <c r="A92" s="17">
        <v>86</v>
      </c>
      <c r="B92" s="18" t="s">
        <v>252</v>
      </c>
      <c r="C92" s="18" t="s">
        <v>253</v>
      </c>
      <c r="D92" s="18">
        <f>647-6</f>
        <v>641</v>
      </c>
      <c r="E92" s="18">
        <f>1048</f>
        <v>1048</v>
      </c>
      <c r="F92" s="20">
        <f>12491-3-1.3-389.9</f>
        <v>12096.8</v>
      </c>
      <c r="G92" s="20"/>
      <c r="H92" s="20">
        <v>1822</v>
      </c>
      <c r="I92" s="20"/>
      <c r="J92" s="20"/>
      <c r="K92" s="20"/>
      <c r="L92" s="24">
        <f>4940+556.5</f>
        <v>5496.5</v>
      </c>
      <c r="M92" s="20"/>
      <c r="N92" s="20"/>
      <c r="O92" s="20"/>
      <c r="P92" s="20"/>
      <c r="Q92" s="20"/>
      <c r="R92" s="18"/>
      <c r="S92" s="33"/>
      <c r="T92" s="35" t="s">
        <v>254</v>
      </c>
      <c r="U92" s="13"/>
    </row>
    <row r="93" ht="18" spans="1:21">
      <c r="A93" s="17">
        <v>87</v>
      </c>
      <c r="B93" s="18" t="s">
        <v>255</v>
      </c>
      <c r="C93" s="18" t="s">
        <v>256</v>
      </c>
      <c r="D93" s="18">
        <v>183</v>
      </c>
      <c r="E93" s="18">
        <v>471</v>
      </c>
      <c r="F93" s="20">
        <f>8131-4-1.3</f>
        <v>8125.7</v>
      </c>
      <c r="G93" s="20">
        <f>8131-4-1.3</f>
        <v>8125.7</v>
      </c>
      <c r="H93" s="20"/>
      <c r="I93" s="20"/>
      <c r="J93" s="20">
        <v>3866</v>
      </c>
      <c r="K93" s="20"/>
      <c r="L93" s="20"/>
      <c r="M93" s="20">
        <v>454</v>
      </c>
      <c r="N93" s="20"/>
      <c r="O93" s="20"/>
      <c r="P93" s="20"/>
      <c r="Q93" s="20">
        <v>24</v>
      </c>
      <c r="R93" s="18">
        <v>6</v>
      </c>
      <c r="S93" s="33"/>
      <c r="T93" s="13"/>
      <c r="U93" s="13"/>
    </row>
    <row r="94" ht="18" spans="1:21">
      <c r="A94" s="17">
        <v>88</v>
      </c>
      <c r="B94" s="18" t="s">
        <v>257</v>
      </c>
      <c r="C94" s="18" t="s">
        <v>258</v>
      </c>
      <c r="D94" s="18">
        <v>261</v>
      </c>
      <c r="E94" s="19">
        <f>475</f>
        <v>475</v>
      </c>
      <c r="F94" s="20">
        <f>9702-1</f>
        <v>9701</v>
      </c>
      <c r="G94" s="20">
        <v>2973</v>
      </c>
      <c r="H94" s="20"/>
      <c r="I94" s="20"/>
      <c r="J94" s="20"/>
      <c r="K94" s="20"/>
      <c r="L94" s="24">
        <v>16</v>
      </c>
      <c r="M94" s="20"/>
      <c r="N94" s="20"/>
      <c r="O94" s="20"/>
      <c r="P94" s="20"/>
      <c r="Q94" s="20"/>
      <c r="R94" s="18"/>
      <c r="S94" s="33"/>
      <c r="T94" s="35" t="s">
        <v>259</v>
      </c>
      <c r="U94" s="13"/>
    </row>
    <row r="95" s="2" customFormat="1" ht="18" spans="1:21">
      <c r="A95" s="17">
        <v>89</v>
      </c>
      <c r="B95" s="18" t="s">
        <v>260</v>
      </c>
      <c r="C95" s="18" t="s">
        <v>261</v>
      </c>
      <c r="D95" s="18">
        <v>108</v>
      </c>
      <c r="E95" s="18"/>
      <c r="F95" s="20">
        <v>108</v>
      </c>
      <c r="G95" s="20"/>
      <c r="H95" s="20"/>
      <c r="I95" s="20"/>
      <c r="J95" s="20"/>
      <c r="K95" s="20"/>
      <c r="L95" s="20"/>
      <c r="M95" s="20"/>
      <c r="N95" s="20"/>
      <c r="O95" s="20"/>
      <c r="P95" s="20"/>
      <c r="Q95" s="20"/>
      <c r="R95" s="18"/>
      <c r="S95" s="33"/>
      <c r="T95" s="36"/>
      <c r="U95" s="36"/>
    </row>
    <row r="96" spans="1:21">
      <c r="A96" s="17">
        <v>90</v>
      </c>
      <c r="B96" s="18" t="s">
        <v>262</v>
      </c>
      <c r="C96" s="18" t="s">
        <v>263</v>
      </c>
      <c r="D96" s="18">
        <v>804</v>
      </c>
      <c r="E96" s="18">
        <v>3254</v>
      </c>
      <c r="F96" s="20">
        <f>30628-2</f>
        <v>30626</v>
      </c>
      <c r="G96" s="20">
        <v>22301</v>
      </c>
      <c r="H96" s="20"/>
      <c r="I96" s="20"/>
      <c r="J96" s="20">
        <v>17262</v>
      </c>
      <c r="K96" s="20"/>
      <c r="L96" s="20"/>
      <c r="M96" s="20"/>
      <c r="N96" s="20"/>
      <c r="O96" s="20">
        <v>140</v>
      </c>
      <c r="P96" s="20"/>
      <c r="Q96" s="20">
        <v>12</v>
      </c>
      <c r="R96" s="18">
        <v>6</v>
      </c>
      <c r="S96" s="33"/>
      <c r="T96" s="13"/>
      <c r="U96" s="13"/>
    </row>
    <row r="97" ht="18" spans="1:21">
      <c r="A97" s="17">
        <v>91</v>
      </c>
      <c r="B97" s="18" t="s">
        <v>264</v>
      </c>
      <c r="C97" s="18" t="s">
        <v>265</v>
      </c>
      <c r="D97" s="18">
        <v>567</v>
      </c>
      <c r="E97" s="19">
        <v>1039</v>
      </c>
      <c r="F97" s="20">
        <v>20410</v>
      </c>
      <c r="G97" s="20">
        <v>11199</v>
      </c>
      <c r="H97" s="20"/>
      <c r="I97" s="20"/>
      <c r="J97" s="20"/>
      <c r="K97" s="20"/>
      <c r="L97" s="20">
        <v>390</v>
      </c>
      <c r="M97" s="20"/>
      <c r="N97" s="20"/>
      <c r="O97" s="20"/>
      <c r="P97" s="20"/>
      <c r="Q97" s="20"/>
      <c r="R97" s="18"/>
      <c r="S97" s="33"/>
      <c r="T97" s="13"/>
      <c r="U97" s="13"/>
    </row>
    <row r="98" spans="1:21">
      <c r="A98" s="17">
        <v>92</v>
      </c>
      <c r="B98" s="18" t="s">
        <v>266</v>
      </c>
      <c r="C98" s="18" t="s">
        <v>267</v>
      </c>
      <c r="D98" s="18">
        <v>168</v>
      </c>
      <c r="E98" s="19"/>
      <c r="F98" s="20">
        <v>168</v>
      </c>
      <c r="G98" s="20"/>
      <c r="H98" s="20"/>
      <c r="I98" s="20"/>
      <c r="J98" s="20"/>
      <c r="K98" s="20"/>
      <c r="L98" s="20"/>
      <c r="M98" s="20"/>
      <c r="N98" s="20"/>
      <c r="O98" s="20"/>
      <c r="P98" s="20"/>
      <c r="Q98" s="20"/>
      <c r="R98" s="18"/>
      <c r="S98" s="33"/>
      <c r="T98" s="13"/>
      <c r="U98" s="13"/>
    </row>
    <row r="99" spans="1:21">
      <c r="A99" s="17">
        <v>93</v>
      </c>
      <c r="B99" s="18" t="s">
        <v>268</v>
      </c>
      <c r="C99" s="18" t="s">
        <v>269</v>
      </c>
      <c r="D99" s="18">
        <v>168</v>
      </c>
      <c r="E99" s="18"/>
      <c r="F99" s="20">
        <v>168</v>
      </c>
      <c r="G99" s="20"/>
      <c r="H99" s="20"/>
      <c r="I99" s="20"/>
      <c r="J99" s="20"/>
      <c r="K99" s="20"/>
      <c r="L99" s="20"/>
      <c r="M99" s="20"/>
      <c r="N99" s="20"/>
      <c r="O99" s="20"/>
      <c r="P99" s="20"/>
      <c r="Q99" s="20"/>
      <c r="R99" s="18"/>
      <c r="S99" s="33"/>
      <c r="T99" s="13"/>
      <c r="U99" s="13"/>
    </row>
    <row r="100" spans="1:21">
      <c r="A100" s="17">
        <v>94</v>
      </c>
      <c r="B100" s="18" t="s">
        <v>270</v>
      </c>
      <c r="C100" s="18" t="s">
        <v>269</v>
      </c>
      <c r="D100" s="18">
        <v>150</v>
      </c>
      <c r="E100" s="19">
        <v>346</v>
      </c>
      <c r="F100" s="20">
        <v>1998</v>
      </c>
      <c r="G100" s="20"/>
      <c r="H100" s="20"/>
      <c r="I100" s="20"/>
      <c r="J100" s="20"/>
      <c r="K100" s="20"/>
      <c r="L100" s="20"/>
      <c r="M100" s="20"/>
      <c r="N100" s="20"/>
      <c r="O100" s="20"/>
      <c r="P100" s="20"/>
      <c r="Q100" s="20"/>
      <c r="R100" s="18"/>
      <c r="S100" s="33"/>
      <c r="T100" s="13"/>
      <c r="U100" s="13"/>
    </row>
    <row r="101" spans="1:21">
      <c r="A101" s="17">
        <v>95</v>
      </c>
      <c r="B101" s="18" t="s">
        <v>271</v>
      </c>
      <c r="C101" s="18" t="s">
        <v>269</v>
      </c>
      <c r="D101" s="18">
        <v>107</v>
      </c>
      <c r="E101" s="19"/>
      <c r="F101" s="20">
        <v>107</v>
      </c>
      <c r="G101" s="20"/>
      <c r="H101" s="20"/>
      <c r="I101" s="20"/>
      <c r="J101" s="20"/>
      <c r="K101" s="20"/>
      <c r="L101" s="20"/>
      <c r="M101" s="20"/>
      <c r="N101" s="20"/>
      <c r="O101" s="20"/>
      <c r="P101" s="20"/>
      <c r="Q101" s="20"/>
      <c r="R101" s="18"/>
      <c r="S101" s="33"/>
      <c r="T101" s="13"/>
      <c r="U101" s="13"/>
    </row>
    <row r="102" spans="1:21">
      <c r="A102" s="17">
        <v>96</v>
      </c>
      <c r="B102" s="18" t="s">
        <v>272</v>
      </c>
      <c r="C102" s="18" t="s">
        <v>273</v>
      </c>
      <c r="D102" s="18">
        <v>100</v>
      </c>
      <c r="E102" s="19"/>
      <c r="F102" s="20">
        <v>1204.6</v>
      </c>
      <c r="G102" s="20"/>
      <c r="H102" s="20"/>
      <c r="I102" s="20"/>
      <c r="J102" s="20"/>
      <c r="K102" s="20"/>
      <c r="L102" s="20"/>
      <c r="M102" s="20"/>
      <c r="N102" s="20"/>
      <c r="O102" s="20"/>
      <c r="P102" s="20"/>
      <c r="Q102" s="20"/>
      <c r="R102" s="18"/>
      <c r="S102" s="33"/>
      <c r="T102" s="13"/>
      <c r="U102" s="13"/>
    </row>
    <row r="103" ht="18" spans="1:21">
      <c r="A103" s="17">
        <v>97</v>
      </c>
      <c r="B103" s="18" t="s">
        <v>272</v>
      </c>
      <c r="C103" s="18" t="s">
        <v>274</v>
      </c>
      <c r="D103" s="18">
        <v>284</v>
      </c>
      <c r="E103" s="19"/>
      <c r="F103" s="20">
        <v>284</v>
      </c>
      <c r="G103" s="20"/>
      <c r="H103" s="20"/>
      <c r="I103" s="20"/>
      <c r="J103" s="20"/>
      <c r="K103" s="20"/>
      <c r="L103" s="20"/>
      <c r="M103" s="20"/>
      <c r="N103" s="20"/>
      <c r="O103" s="20"/>
      <c r="P103" s="20"/>
      <c r="Q103" s="20"/>
      <c r="R103" s="18"/>
      <c r="S103" s="33"/>
      <c r="T103" s="13"/>
      <c r="U103" s="13"/>
    </row>
    <row r="104" spans="1:21">
      <c r="A104" s="17">
        <v>98</v>
      </c>
      <c r="B104" s="18" t="s">
        <v>275</v>
      </c>
      <c r="C104" s="18" t="s">
        <v>276</v>
      </c>
      <c r="D104" s="18">
        <f>127-1</f>
        <v>126</v>
      </c>
      <c r="E104" s="18">
        <f>416</f>
        <v>416</v>
      </c>
      <c r="F104" s="20">
        <f>4316-35</f>
        <v>4281</v>
      </c>
      <c r="G104" s="20"/>
      <c r="H104" s="20"/>
      <c r="I104" s="20"/>
      <c r="J104" s="20"/>
      <c r="K104" s="20"/>
      <c r="L104" s="20"/>
      <c r="M104" s="20"/>
      <c r="N104" s="20"/>
      <c r="O104" s="20"/>
      <c r="P104" s="20"/>
      <c r="Q104" s="20"/>
      <c r="R104" s="18"/>
      <c r="S104" s="33"/>
      <c r="T104" s="13"/>
      <c r="U104" s="13"/>
    </row>
    <row r="105" spans="1:21">
      <c r="A105" s="17">
        <v>99</v>
      </c>
      <c r="B105" s="18" t="s">
        <v>264</v>
      </c>
      <c r="C105" s="18" t="s">
        <v>277</v>
      </c>
      <c r="D105" s="18">
        <v>134</v>
      </c>
      <c r="E105" s="19"/>
      <c r="F105" s="20">
        <v>3372</v>
      </c>
      <c r="G105" s="20"/>
      <c r="H105" s="20"/>
      <c r="I105" s="20"/>
      <c r="J105" s="20"/>
      <c r="K105" s="20"/>
      <c r="L105" s="20"/>
      <c r="M105" s="20"/>
      <c r="N105" s="20"/>
      <c r="O105" s="20"/>
      <c r="P105" s="20"/>
      <c r="Q105" s="20"/>
      <c r="R105" s="18"/>
      <c r="S105" s="33"/>
      <c r="T105" s="13"/>
      <c r="U105" s="13"/>
    </row>
    <row r="106" spans="1:21">
      <c r="A106" s="17">
        <v>100</v>
      </c>
      <c r="B106" s="43" t="s">
        <v>278</v>
      </c>
      <c r="C106" s="44" t="s">
        <v>279</v>
      </c>
      <c r="D106" s="45">
        <v>168</v>
      </c>
      <c r="E106" s="18"/>
      <c r="F106" s="46">
        <v>154.83</v>
      </c>
      <c r="G106" s="20"/>
      <c r="H106" s="20"/>
      <c r="I106" s="20"/>
      <c r="J106" s="20"/>
      <c r="K106" s="20"/>
      <c r="L106" s="20"/>
      <c r="M106" s="20"/>
      <c r="N106" s="20"/>
      <c r="O106" s="20"/>
      <c r="P106" s="20"/>
      <c r="Q106" s="20"/>
      <c r="R106" s="18"/>
      <c r="S106" s="55"/>
      <c r="T106" s="13"/>
      <c r="U106" s="13"/>
    </row>
    <row r="107" spans="1:21">
      <c r="A107" s="17">
        <v>101</v>
      </c>
      <c r="B107" s="20" t="s">
        <v>280</v>
      </c>
      <c r="C107" s="20" t="s">
        <v>281</v>
      </c>
      <c r="D107" s="20">
        <v>140</v>
      </c>
      <c r="E107" s="18"/>
      <c r="F107" s="20">
        <v>124.4</v>
      </c>
      <c r="G107" s="20"/>
      <c r="H107" s="20"/>
      <c r="I107" s="20"/>
      <c r="J107" s="20"/>
      <c r="K107" s="20"/>
      <c r="L107" s="20"/>
      <c r="M107" s="20"/>
      <c r="N107" s="20"/>
      <c r="O107" s="20"/>
      <c r="P107" s="20"/>
      <c r="Q107" s="20"/>
      <c r="R107" s="18"/>
      <c r="S107" s="55"/>
      <c r="T107" s="13"/>
      <c r="U107" s="13"/>
    </row>
    <row r="108" spans="1:21">
      <c r="A108" s="17">
        <v>102</v>
      </c>
      <c r="B108" s="18" t="s">
        <v>282</v>
      </c>
      <c r="C108" s="18" t="s">
        <v>283</v>
      </c>
      <c r="D108" s="18"/>
      <c r="E108" s="18">
        <v>444</v>
      </c>
      <c r="F108" s="20">
        <v>5544</v>
      </c>
      <c r="G108" s="20">
        <v>5544</v>
      </c>
      <c r="H108" s="20"/>
      <c r="I108" s="20"/>
      <c r="J108" s="20"/>
      <c r="K108" s="20"/>
      <c r="L108" s="20"/>
      <c r="M108" s="20"/>
      <c r="N108" s="20"/>
      <c r="O108" s="20"/>
      <c r="P108" s="20"/>
      <c r="Q108" s="20"/>
      <c r="R108" s="18"/>
      <c r="S108" s="33"/>
      <c r="T108" s="13"/>
      <c r="U108" s="13"/>
    </row>
    <row r="109" ht="72" spans="1:21">
      <c r="A109" s="17">
        <v>103</v>
      </c>
      <c r="B109" s="26" t="s">
        <v>284</v>
      </c>
      <c r="C109" s="26" t="s">
        <v>285</v>
      </c>
      <c r="D109" s="26"/>
      <c r="E109" s="26">
        <v>557</v>
      </c>
      <c r="F109" s="24">
        <v>19029</v>
      </c>
      <c r="G109" s="24">
        <v>19029</v>
      </c>
      <c r="H109" s="24"/>
      <c r="I109" s="24"/>
      <c r="J109" s="24">
        <v>220.8</v>
      </c>
      <c r="K109" s="24"/>
      <c r="L109" s="24">
        <v>10</v>
      </c>
      <c r="M109" s="24"/>
      <c r="N109" s="24"/>
      <c r="O109" s="24"/>
      <c r="P109" s="24">
        <v>57.44</v>
      </c>
      <c r="Q109" s="24"/>
      <c r="R109" s="26"/>
      <c r="S109" s="28"/>
      <c r="T109" s="13"/>
      <c r="U109" s="13"/>
    </row>
    <row r="110" ht="18" spans="1:21">
      <c r="A110" s="17">
        <v>104</v>
      </c>
      <c r="B110" s="18" t="s">
        <v>286</v>
      </c>
      <c r="C110" s="18" t="s">
        <v>287</v>
      </c>
      <c r="D110" s="18"/>
      <c r="E110" s="18">
        <v>60</v>
      </c>
      <c r="F110" s="20">
        <v>10769</v>
      </c>
      <c r="G110" s="20">
        <v>10769</v>
      </c>
      <c r="H110" s="20"/>
      <c r="I110" s="20"/>
      <c r="J110" s="20">
        <v>1055.5</v>
      </c>
      <c r="K110" s="20"/>
      <c r="L110" s="20"/>
      <c r="M110" s="20"/>
      <c r="N110" s="20"/>
      <c r="O110" s="20"/>
      <c r="P110" s="20"/>
      <c r="Q110" s="20"/>
      <c r="R110" s="18"/>
      <c r="S110" s="56"/>
      <c r="T110" s="13"/>
      <c r="U110" s="13"/>
    </row>
    <row r="111" spans="1:21">
      <c r="A111" s="17">
        <v>105</v>
      </c>
      <c r="B111" s="18" t="s">
        <v>288</v>
      </c>
      <c r="C111" s="44" t="s">
        <v>289</v>
      </c>
      <c r="D111" s="45">
        <v>138</v>
      </c>
      <c r="E111" s="45"/>
      <c r="F111" s="46">
        <v>138</v>
      </c>
      <c r="G111" s="20"/>
      <c r="H111" s="20"/>
      <c r="I111" s="20"/>
      <c r="J111" s="20"/>
      <c r="K111" s="20"/>
      <c r="L111" s="20"/>
      <c r="M111" s="20"/>
      <c r="N111" s="20"/>
      <c r="O111" s="20"/>
      <c r="P111" s="20"/>
      <c r="Q111" s="20"/>
      <c r="R111" s="18"/>
      <c r="S111" s="55"/>
      <c r="T111" s="13"/>
      <c r="U111" s="13"/>
    </row>
    <row r="112" ht="18" spans="1:21">
      <c r="A112" s="17">
        <v>106</v>
      </c>
      <c r="B112" s="18" t="s">
        <v>290</v>
      </c>
      <c r="C112" s="18" t="s">
        <v>291</v>
      </c>
      <c r="D112" s="18"/>
      <c r="E112" s="18">
        <v>182</v>
      </c>
      <c r="F112" s="20">
        <v>3429</v>
      </c>
      <c r="G112" s="20">
        <v>3429</v>
      </c>
      <c r="H112" s="20"/>
      <c r="I112" s="20"/>
      <c r="J112" s="20"/>
      <c r="K112" s="20"/>
      <c r="L112" s="20"/>
      <c r="M112" s="20"/>
      <c r="N112" s="20"/>
      <c r="O112" s="20"/>
      <c r="P112" s="20"/>
      <c r="Q112" s="20"/>
      <c r="R112" s="18"/>
      <c r="S112" s="33"/>
      <c r="T112" s="13"/>
      <c r="U112" s="13"/>
    </row>
    <row r="113" ht="18" spans="1:21">
      <c r="A113" s="17">
        <v>107</v>
      </c>
      <c r="B113" s="18" t="s">
        <v>182</v>
      </c>
      <c r="C113" s="18" t="s">
        <v>292</v>
      </c>
      <c r="D113" s="18">
        <v>1003</v>
      </c>
      <c r="E113" s="19">
        <f>2319</f>
        <v>2319</v>
      </c>
      <c r="F113" s="20">
        <f>25984-127-10.88-3</f>
        <v>25843.12</v>
      </c>
      <c r="G113" s="20"/>
      <c r="H113" s="20"/>
      <c r="I113" s="20"/>
      <c r="J113" s="20"/>
      <c r="K113" s="20"/>
      <c r="L113" s="20"/>
      <c r="M113" s="20"/>
      <c r="N113" s="20"/>
      <c r="O113" s="20"/>
      <c r="P113" s="20"/>
      <c r="Q113" s="20"/>
      <c r="R113" s="18"/>
      <c r="S113" s="33"/>
      <c r="T113" s="13"/>
      <c r="U113" s="13"/>
    </row>
    <row r="114" ht="18" spans="1:21">
      <c r="A114" s="17">
        <v>108</v>
      </c>
      <c r="B114" s="18" t="s">
        <v>182</v>
      </c>
      <c r="C114" s="18" t="s">
        <v>293</v>
      </c>
      <c r="D114" s="18">
        <v>1068</v>
      </c>
      <c r="E114" s="19">
        <v>7392</v>
      </c>
      <c r="F114" s="20">
        <v>167716</v>
      </c>
      <c r="G114" s="20">
        <v>122711.8</v>
      </c>
      <c r="H114" s="20"/>
      <c r="I114" s="20"/>
      <c r="J114" s="20">
        <v>1900</v>
      </c>
      <c r="K114" s="20"/>
      <c r="L114" s="20"/>
      <c r="M114" s="20"/>
      <c r="N114" s="20"/>
      <c r="O114" s="20"/>
      <c r="P114" s="20"/>
      <c r="Q114" s="20"/>
      <c r="R114" s="18"/>
      <c r="S114" s="57"/>
      <c r="T114" s="13"/>
      <c r="U114" s="13"/>
    </row>
    <row r="115" ht="36" spans="1:21">
      <c r="A115" s="17">
        <v>109</v>
      </c>
      <c r="B115" s="18" t="s">
        <v>294</v>
      </c>
      <c r="C115" s="18" t="s">
        <v>295</v>
      </c>
      <c r="D115" s="18">
        <v>80</v>
      </c>
      <c r="E115" s="19"/>
      <c r="F115" s="20">
        <v>80</v>
      </c>
      <c r="G115" s="20"/>
      <c r="H115" s="20"/>
      <c r="I115" s="20"/>
      <c r="J115" s="20"/>
      <c r="K115" s="20"/>
      <c r="L115" s="20"/>
      <c r="M115" s="20"/>
      <c r="N115" s="20"/>
      <c r="O115" s="20"/>
      <c r="P115" s="20"/>
      <c r="Q115" s="20"/>
      <c r="R115" s="18"/>
      <c r="S115" s="33"/>
      <c r="T115" s="13"/>
      <c r="U115" s="13"/>
    </row>
    <row r="116" s="3" customFormat="1" spans="1:21">
      <c r="A116" s="37" t="s">
        <v>296</v>
      </c>
      <c r="B116" s="38"/>
      <c r="C116" s="39"/>
      <c r="D116" s="58">
        <f>SUM(D92:D115)</f>
        <v>6398</v>
      </c>
      <c r="E116" s="58">
        <f t="shared" ref="E116:S116" si="3">SUM(E92:E115)</f>
        <v>18003</v>
      </c>
      <c r="F116" s="59">
        <f t="shared" si="3"/>
        <v>325477.45</v>
      </c>
      <c r="G116" s="59">
        <f t="shared" si="3"/>
        <v>206081.5</v>
      </c>
      <c r="H116" s="59">
        <f t="shared" si="3"/>
        <v>1822</v>
      </c>
      <c r="I116" s="59">
        <f t="shared" si="3"/>
        <v>0</v>
      </c>
      <c r="J116" s="59">
        <f t="shared" si="3"/>
        <v>24304.3</v>
      </c>
      <c r="K116" s="59">
        <f t="shared" si="3"/>
        <v>0</v>
      </c>
      <c r="L116" s="59">
        <f t="shared" si="3"/>
        <v>5912.5</v>
      </c>
      <c r="M116" s="59">
        <f t="shared" si="3"/>
        <v>454</v>
      </c>
      <c r="N116" s="59">
        <f t="shared" si="3"/>
        <v>0</v>
      </c>
      <c r="O116" s="59">
        <f t="shared" si="3"/>
        <v>140</v>
      </c>
      <c r="P116" s="59">
        <f t="shared" si="3"/>
        <v>57.44</v>
      </c>
      <c r="Q116" s="59">
        <f t="shared" si="3"/>
        <v>36</v>
      </c>
      <c r="R116" s="58">
        <f t="shared" si="3"/>
        <v>12</v>
      </c>
      <c r="S116" s="59">
        <f t="shared" si="3"/>
        <v>0</v>
      </c>
      <c r="T116" s="42"/>
      <c r="U116" s="42"/>
    </row>
    <row r="117" s="2" customFormat="1" spans="1:21">
      <c r="A117" s="17">
        <v>110</v>
      </c>
      <c r="B117" s="26" t="s">
        <v>297</v>
      </c>
      <c r="C117" s="26" t="s">
        <v>298</v>
      </c>
      <c r="D117" s="26">
        <v>426</v>
      </c>
      <c r="E117" s="26">
        <v>904</v>
      </c>
      <c r="F117" s="24">
        <v>33709.5</v>
      </c>
      <c r="G117" s="24">
        <v>12034.4</v>
      </c>
      <c r="H117" s="24"/>
      <c r="I117" s="24">
        <v>2146.8</v>
      </c>
      <c r="J117" s="24"/>
      <c r="K117" s="24"/>
      <c r="L117" s="24"/>
      <c r="M117" s="24"/>
      <c r="N117" s="24"/>
      <c r="O117" s="24"/>
      <c r="P117" s="24"/>
      <c r="Q117" s="24"/>
      <c r="R117" s="26"/>
      <c r="S117" s="28"/>
      <c r="T117" s="60"/>
      <c r="U117" s="36"/>
    </row>
    <row r="118" s="2" customFormat="1" spans="1:21">
      <c r="A118" s="17">
        <v>111</v>
      </c>
      <c r="B118" s="26" t="s">
        <v>299</v>
      </c>
      <c r="C118" s="26" t="s">
        <v>300</v>
      </c>
      <c r="D118" s="26">
        <v>892</v>
      </c>
      <c r="E118" s="26">
        <v>551</v>
      </c>
      <c r="F118" s="24">
        <v>39758.9</v>
      </c>
      <c r="G118" s="24">
        <v>7907.6</v>
      </c>
      <c r="H118" s="24">
        <v>378.6</v>
      </c>
      <c r="I118" s="24">
        <v>2951.4</v>
      </c>
      <c r="J118" s="24"/>
      <c r="K118" s="24"/>
      <c r="L118" s="24"/>
      <c r="M118" s="24"/>
      <c r="N118" s="24"/>
      <c r="O118" s="24"/>
      <c r="P118" s="24"/>
      <c r="Q118" s="24"/>
      <c r="R118" s="26"/>
      <c r="S118" s="28"/>
      <c r="T118" s="60"/>
      <c r="U118" s="36"/>
    </row>
    <row r="119" customFormat="1" ht="41" customHeight="1" spans="1:21">
      <c r="A119" s="17">
        <v>112</v>
      </c>
      <c r="B119" s="26" t="s">
        <v>301</v>
      </c>
      <c r="C119" s="26" t="s">
        <v>302</v>
      </c>
      <c r="D119" s="26"/>
      <c r="E119" s="26">
        <v>54</v>
      </c>
      <c r="F119" s="24">
        <v>8470.2</v>
      </c>
      <c r="G119" s="24">
        <v>8768</v>
      </c>
      <c r="H119" s="24">
        <v>297.8</v>
      </c>
      <c r="I119" s="24"/>
      <c r="J119" s="24"/>
      <c r="K119" s="24"/>
      <c r="L119" s="24">
        <v>480</v>
      </c>
      <c r="M119" s="24"/>
      <c r="N119" s="24"/>
      <c r="O119" s="24"/>
      <c r="P119" s="24"/>
      <c r="Q119" s="24"/>
      <c r="R119" s="26"/>
      <c r="S119" s="28"/>
      <c r="T119" s="13"/>
      <c r="U119" s="13"/>
    </row>
    <row r="120" ht="18" spans="1:21">
      <c r="A120" s="17">
        <v>113</v>
      </c>
      <c r="B120" s="17" t="s">
        <v>303</v>
      </c>
      <c r="C120" s="18" t="s">
        <v>304</v>
      </c>
      <c r="D120" s="17">
        <v>120</v>
      </c>
      <c r="E120" s="17">
        <v>905</v>
      </c>
      <c r="F120" s="32">
        <v>11916</v>
      </c>
      <c r="G120" s="32">
        <v>11796</v>
      </c>
      <c r="H120" s="32"/>
      <c r="I120" s="32"/>
      <c r="J120" s="20">
        <v>510</v>
      </c>
      <c r="K120" s="20"/>
      <c r="L120" s="20">
        <v>170</v>
      </c>
      <c r="M120" s="20"/>
      <c r="N120" s="20"/>
      <c r="O120" s="20"/>
      <c r="P120" s="20"/>
      <c r="Q120" s="32"/>
      <c r="R120" s="17"/>
      <c r="S120" s="32"/>
      <c r="T120" s="13"/>
      <c r="U120" s="13"/>
    </row>
    <row r="121" spans="1:21">
      <c r="A121" s="17">
        <v>114</v>
      </c>
      <c r="B121" s="17" t="s">
        <v>305</v>
      </c>
      <c r="C121" s="18" t="s">
        <v>306</v>
      </c>
      <c r="D121" s="17">
        <v>106</v>
      </c>
      <c r="E121" s="17"/>
      <c r="F121" s="32">
        <v>106</v>
      </c>
      <c r="G121" s="32"/>
      <c r="H121" s="32"/>
      <c r="I121" s="32"/>
      <c r="J121" s="32"/>
      <c r="K121" s="32"/>
      <c r="L121" s="32"/>
      <c r="M121" s="32"/>
      <c r="N121" s="32"/>
      <c r="O121" s="32"/>
      <c r="P121" s="32"/>
      <c r="Q121" s="32"/>
      <c r="R121" s="17"/>
      <c r="S121" s="32"/>
      <c r="T121" s="13"/>
      <c r="U121" s="13"/>
    </row>
    <row r="122" ht="18" spans="1:21">
      <c r="A122" s="17">
        <v>115</v>
      </c>
      <c r="B122" s="17" t="s">
        <v>307</v>
      </c>
      <c r="C122" s="18" t="s">
        <v>308</v>
      </c>
      <c r="D122" s="17">
        <f>96+52</f>
        <v>148</v>
      </c>
      <c r="E122" s="17">
        <f>0+18</f>
        <v>18</v>
      </c>
      <c r="F122" s="32">
        <f>96+670</f>
        <v>766</v>
      </c>
      <c r="G122" s="32"/>
      <c r="H122" s="32"/>
      <c r="I122" s="32"/>
      <c r="J122" s="20"/>
      <c r="K122" s="20"/>
      <c r="L122" s="20"/>
      <c r="M122" s="20"/>
      <c r="N122" s="20"/>
      <c r="O122" s="20"/>
      <c r="P122" s="20"/>
      <c r="Q122" s="32"/>
      <c r="R122" s="17"/>
      <c r="S122" s="32"/>
      <c r="T122" s="13"/>
      <c r="U122" s="13"/>
    </row>
    <row r="123" s="2" customFormat="1" ht="22" customHeight="1" spans="1:21">
      <c r="A123" s="17">
        <v>116</v>
      </c>
      <c r="B123" s="17" t="s">
        <v>309</v>
      </c>
      <c r="C123" s="18" t="s">
        <v>310</v>
      </c>
      <c r="D123" s="17">
        <v>79</v>
      </c>
      <c r="E123" s="17"/>
      <c r="F123" s="32">
        <v>79</v>
      </c>
      <c r="G123" s="32"/>
      <c r="H123" s="32"/>
      <c r="I123" s="32"/>
      <c r="J123" s="20"/>
      <c r="K123" s="20"/>
      <c r="L123" s="20"/>
      <c r="M123" s="20"/>
      <c r="N123" s="20"/>
      <c r="O123" s="20"/>
      <c r="P123" s="20"/>
      <c r="Q123" s="32"/>
      <c r="R123" s="17"/>
      <c r="S123" s="32"/>
      <c r="T123" s="36"/>
      <c r="U123" s="36"/>
    </row>
    <row r="124" customFormat="1" ht="18" spans="1:21">
      <c r="A124" s="17">
        <v>117</v>
      </c>
      <c r="B124" s="17" t="s">
        <v>311</v>
      </c>
      <c r="C124" s="18" t="s">
        <v>312</v>
      </c>
      <c r="D124" s="17"/>
      <c r="E124" s="17">
        <f>700</f>
        <v>700</v>
      </c>
      <c r="F124" s="32">
        <f>11149-29-10.5</f>
        <v>11109.5</v>
      </c>
      <c r="G124" s="32"/>
      <c r="H124" s="32"/>
      <c r="I124" s="32"/>
      <c r="J124" s="32"/>
      <c r="K124" s="32"/>
      <c r="L124" s="32"/>
      <c r="M124" s="32"/>
      <c r="N124" s="32"/>
      <c r="O124" s="32"/>
      <c r="P124" s="32"/>
      <c r="Q124" s="32"/>
      <c r="R124" s="17"/>
      <c r="S124" s="32"/>
      <c r="T124" s="13"/>
      <c r="U124" s="13"/>
    </row>
    <row r="125" customFormat="1" ht="18" spans="1:21">
      <c r="A125" s="17">
        <v>118</v>
      </c>
      <c r="B125" s="17" t="s">
        <v>313</v>
      </c>
      <c r="C125" s="18" t="s">
        <v>314</v>
      </c>
      <c r="D125" s="17">
        <v>453</v>
      </c>
      <c r="E125" s="17">
        <v>938</v>
      </c>
      <c r="F125" s="32">
        <v>7402</v>
      </c>
      <c r="G125" s="32"/>
      <c r="H125" s="32"/>
      <c r="I125" s="32"/>
      <c r="J125" s="32"/>
      <c r="K125" s="32"/>
      <c r="L125" s="32"/>
      <c r="M125" s="32"/>
      <c r="N125" s="32"/>
      <c r="O125" s="32"/>
      <c r="P125" s="32"/>
      <c r="Q125" s="32"/>
      <c r="R125" s="17"/>
      <c r="S125" s="32"/>
      <c r="T125" s="13"/>
      <c r="U125" s="13"/>
    </row>
    <row r="126" ht="18" customHeight="1" spans="1:21">
      <c r="A126" s="17">
        <v>119</v>
      </c>
      <c r="B126" s="26" t="s">
        <v>315</v>
      </c>
      <c r="C126" s="26" t="s">
        <v>316</v>
      </c>
      <c r="D126" s="26"/>
      <c r="E126" s="26">
        <v>433</v>
      </c>
      <c r="F126" s="24">
        <v>21459</v>
      </c>
      <c r="G126" s="24">
        <v>18644</v>
      </c>
      <c r="H126" s="24"/>
      <c r="I126" s="24"/>
      <c r="J126" s="24">
        <v>2851</v>
      </c>
      <c r="K126" s="24"/>
      <c r="L126" s="24">
        <v>567.75</v>
      </c>
      <c r="M126" s="24"/>
      <c r="N126" s="24">
        <v>75</v>
      </c>
      <c r="O126" s="24">
        <v>72</v>
      </c>
      <c r="P126" s="24"/>
      <c r="Q126" s="24">
        <v>25.2</v>
      </c>
      <c r="R126" s="26">
        <v>8</v>
      </c>
      <c r="S126" s="28"/>
      <c r="T126" s="35" t="s">
        <v>317</v>
      </c>
      <c r="U126" s="13"/>
    </row>
    <row r="127" s="2" customFormat="1" spans="1:21">
      <c r="A127" s="17">
        <v>120</v>
      </c>
      <c r="B127" s="26" t="s">
        <v>318</v>
      </c>
      <c r="C127" s="26" t="s">
        <v>319</v>
      </c>
      <c r="D127" s="26">
        <v>190</v>
      </c>
      <c r="E127" s="26"/>
      <c r="F127" s="24">
        <v>1411.5</v>
      </c>
      <c r="G127" s="24"/>
      <c r="H127" s="24"/>
      <c r="I127" s="24"/>
      <c r="J127" s="24"/>
      <c r="K127" s="24"/>
      <c r="L127" s="24">
        <v>767.3</v>
      </c>
      <c r="M127" s="32"/>
      <c r="N127" s="32"/>
      <c r="O127" s="32"/>
      <c r="P127" s="32"/>
      <c r="Q127" s="32"/>
      <c r="R127" s="17"/>
      <c r="S127" s="32"/>
      <c r="T127" s="36"/>
      <c r="U127" s="36"/>
    </row>
    <row r="128" s="2" customFormat="1" spans="1:21">
      <c r="A128" s="17">
        <v>121</v>
      </c>
      <c r="B128" s="17" t="s">
        <v>318</v>
      </c>
      <c r="C128" s="18" t="s">
        <v>320</v>
      </c>
      <c r="D128" s="17">
        <f>190-4</f>
        <v>186</v>
      </c>
      <c r="E128" s="17"/>
      <c r="F128" s="32">
        <v>190</v>
      </c>
      <c r="G128" s="32"/>
      <c r="H128" s="32"/>
      <c r="I128" s="32"/>
      <c r="J128" s="32"/>
      <c r="K128" s="32"/>
      <c r="L128" s="32"/>
      <c r="M128" s="32"/>
      <c r="N128" s="32"/>
      <c r="O128" s="32"/>
      <c r="P128" s="32"/>
      <c r="Q128" s="32"/>
      <c r="R128" s="17"/>
      <c r="S128" s="32"/>
      <c r="T128" s="36"/>
      <c r="U128" s="36"/>
    </row>
    <row r="129" ht="18" spans="1:21">
      <c r="A129" s="17">
        <v>122</v>
      </c>
      <c r="B129" s="17" t="s">
        <v>321</v>
      </c>
      <c r="C129" s="17" t="s">
        <v>322</v>
      </c>
      <c r="D129" s="17"/>
      <c r="E129" s="17">
        <v>1506</v>
      </c>
      <c r="F129" s="32">
        <v>35724</v>
      </c>
      <c r="G129" s="32">
        <v>35724</v>
      </c>
      <c r="H129" s="32"/>
      <c r="I129" s="32"/>
      <c r="J129" s="32">
        <v>320</v>
      </c>
      <c r="K129" s="32"/>
      <c r="L129" s="24">
        <v>12.5</v>
      </c>
      <c r="M129" s="32"/>
      <c r="N129" s="32"/>
      <c r="O129" s="32"/>
      <c r="P129" s="32"/>
      <c r="Q129" s="32"/>
      <c r="R129" s="17"/>
      <c r="S129" s="32"/>
      <c r="T129" s="35" t="s">
        <v>323</v>
      </c>
      <c r="U129" s="13"/>
    </row>
    <row r="130" s="2" customFormat="1" ht="18" spans="1:21">
      <c r="A130" s="17">
        <v>123</v>
      </c>
      <c r="B130" s="26" t="s">
        <v>324</v>
      </c>
      <c r="C130" s="26" t="s">
        <v>325</v>
      </c>
      <c r="D130" s="26">
        <v>201</v>
      </c>
      <c r="E130" s="26"/>
      <c r="F130" s="24">
        <v>1467.5</v>
      </c>
      <c r="G130" s="24"/>
      <c r="H130" s="24"/>
      <c r="I130" s="24"/>
      <c r="J130" s="24"/>
      <c r="K130" s="24"/>
      <c r="L130" s="24">
        <v>816.8</v>
      </c>
      <c r="M130" s="24"/>
      <c r="N130" s="24"/>
      <c r="O130" s="24"/>
      <c r="P130" s="24"/>
      <c r="Q130" s="24"/>
      <c r="R130" s="26"/>
      <c r="S130" s="28"/>
      <c r="T130" s="36"/>
      <c r="U130" s="36"/>
    </row>
    <row r="131" ht="35" customHeight="1" spans="1:21">
      <c r="A131" s="17">
        <v>124</v>
      </c>
      <c r="B131" s="18" t="s">
        <v>326</v>
      </c>
      <c r="C131" s="18" t="s">
        <v>327</v>
      </c>
      <c r="D131" s="18">
        <v>0</v>
      </c>
      <c r="E131" s="17">
        <f>2017</f>
        <v>2017</v>
      </c>
      <c r="F131" s="32">
        <f>40710.6-2</f>
        <v>40708.6</v>
      </c>
      <c r="G131" s="24"/>
      <c r="H131" s="20"/>
      <c r="I131" s="20"/>
      <c r="J131" s="20"/>
      <c r="K131" s="20"/>
      <c r="L131" s="20"/>
      <c r="M131" s="20"/>
      <c r="N131" s="20"/>
      <c r="O131" s="20"/>
      <c r="P131" s="20"/>
      <c r="Q131" s="20"/>
      <c r="R131" s="23"/>
      <c r="S131" s="21"/>
      <c r="T131" s="35"/>
      <c r="U131" s="13"/>
    </row>
    <row r="132" ht="21" customHeight="1" spans="1:21">
      <c r="A132" s="17">
        <v>125</v>
      </c>
      <c r="B132" s="26" t="s">
        <v>328</v>
      </c>
      <c r="C132" s="26" t="s">
        <v>329</v>
      </c>
      <c r="D132" s="26"/>
      <c r="E132" s="26">
        <v>1859</v>
      </c>
      <c r="F132" s="24">
        <v>13373.44</v>
      </c>
      <c r="G132" s="24">
        <v>13426.64</v>
      </c>
      <c r="H132" s="24">
        <v>53.2</v>
      </c>
      <c r="I132" s="24"/>
      <c r="J132" s="24"/>
      <c r="K132" s="24"/>
      <c r="L132" s="24">
        <v>680</v>
      </c>
      <c r="M132" s="24"/>
      <c r="N132" s="24"/>
      <c r="O132" s="24"/>
      <c r="P132" s="24"/>
      <c r="Q132" s="24"/>
      <c r="R132" s="26"/>
      <c r="S132" s="28"/>
      <c r="T132" s="13"/>
      <c r="U132" s="13"/>
    </row>
    <row r="133" ht="21" customHeight="1" spans="1:21">
      <c r="A133" s="17">
        <v>126</v>
      </c>
      <c r="B133" s="26" t="s">
        <v>330</v>
      </c>
      <c r="C133" s="26" t="s">
        <v>331</v>
      </c>
      <c r="D133" s="26"/>
      <c r="E133" s="26">
        <v>4</v>
      </c>
      <c r="F133" s="24">
        <v>1605</v>
      </c>
      <c r="G133" s="24">
        <v>1605</v>
      </c>
      <c r="H133" s="24"/>
      <c r="I133" s="20"/>
      <c r="J133" s="20"/>
      <c r="K133" s="20"/>
      <c r="L133" s="20"/>
      <c r="M133" s="20"/>
      <c r="N133" s="20"/>
      <c r="O133" s="20"/>
      <c r="P133" s="20"/>
      <c r="Q133" s="20"/>
      <c r="R133" s="23"/>
      <c r="S133" s="21"/>
      <c r="T133" s="13"/>
      <c r="U133" s="13"/>
    </row>
    <row r="134" customFormat="1" ht="18" spans="1:21">
      <c r="A134" s="17">
        <v>127</v>
      </c>
      <c r="B134" s="61" t="s">
        <v>332</v>
      </c>
      <c r="C134" s="62" t="s">
        <v>327</v>
      </c>
      <c r="D134" s="61">
        <v>848</v>
      </c>
      <c r="E134" s="61">
        <f>5804</f>
        <v>5804</v>
      </c>
      <c r="F134" s="63">
        <f>146456-2-3707-47</f>
        <v>142700</v>
      </c>
      <c r="G134" s="63"/>
      <c r="H134" s="63"/>
      <c r="I134" s="63"/>
      <c r="J134" s="63">
        <v>1510</v>
      </c>
      <c r="K134" s="63">
        <v>2700</v>
      </c>
      <c r="L134" s="63">
        <v>297</v>
      </c>
      <c r="M134" s="63"/>
      <c r="N134" s="63"/>
      <c r="O134" s="63"/>
      <c r="P134" s="63"/>
      <c r="Q134" s="63"/>
      <c r="R134" s="61"/>
      <c r="S134" s="32"/>
      <c r="T134" s="13"/>
      <c r="U134" s="13"/>
    </row>
    <row r="135" s="3" customFormat="1" spans="1:21">
      <c r="A135" s="37" t="s">
        <v>333</v>
      </c>
      <c r="B135" s="38"/>
      <c r="C135" s="39"/>
      <c r="D135" s="40">
        <f>SUM(D117:D134)</f>
        <v>3649</v>
      </c>
      <c r="E135" s="40">
        <f t="shared" ref="E135:S135" si="4">SUM(E117:E134)</f>
        <v>15693</v>
      </c>
      <c r="F135" s="41">
        <f t="shared" si="4"/>
        <v>371956.14</v>
      </c>
      <c r="G135" s="41">
        <f t="shared" si="4"/>
        <v>109905.64</v>
      </c>
      <c r="H135" s="41">
        <f t="shared" si="4"/>
        <v>729.6</v>
      </c>
      <c r="I135" s="41">
        <f t="shared" si="4"/>
        <v>5098.2</v>
      </c>
      <c r="J135" s="41">
        <f t="shared" si="4"/>
        <v>5191</v>
      </c>
      <c r="K135" s="41">
        <f t="shared" si="4"/>
        <v>2700</v>
      </c>
      <c r="L135" s="41">
        <f t="shared" si="4"/>
        <v>3791.35</v>
      </c>
      <c r="M135" s="41">
        <f t="shared" si="4"/>
        <v>0</v>
      </c>
      <c r="N135" s="41">
        <f t="shared" si="4"/>
        <v>75</v>
      </c>
      <c r="O135" s="41">
        <f t="shared" si="4"/>
        <v>72</v>
      </c>
      <c r="P135" s="41">
        <f t="shared" si="4"/>
        <v>0</v>
      </c>
      <c r="Q135" s="41">
        <f t="shared" si="4"/>
        <v>25.2</v>
      </c>
      <c r="R135" s="40">
        <f t="shared" si="4"/>
        <v>8</v>
      </c>
      <c r="S135" s="41">
        <f t="shared" si="4"/>
        <v>0</v>
      </c>
      <c r="T135" s="42"/>
      <c r="U135" s="42"/>
    </row>
    <row r="136" spans="1:21">
      <c r="A136" s="17">
        <v>128</v>
      </c>
      <c r="B136" s="18" t="s">
        <v>334</v>
      </c>
      <c r="C136" s="18" t="s">
        <v>335</v>
      </c>
      <c r="D136" s="23">
        <v>150</v>
      </c>
      <c r="E136" s="23">
        <v>100</v>
      </c>
      <c r="F136" s="20">
        <f>6835-0.25</f>
        <v>6834.75</v>
      </c>
      <c r="G136" s="20"/>
      <c r="H136" s="20"/>
      <c r="I136" s="20"/>
      <c r="J136" s="20">
        <v>1500</v>
      </c>
      <c r="K136" s="20"/>
      <c r="L136" s="20"/>
      <c r="M136" s="20"/>
      <c r="N136" s="20"/>
      <c r="O136" s="20"/>
      <c r="P136" s="20"/>
      <c r="Q136" s="20"/>
      <c r="R136" s="23"/>
      <c r="S136" s="20"/>
      <c r="T136" s="13"/>
      <c r="U136" s="13"/>
    </row>
    <row r="137" spans="1:21">
      <c r="A137" s="17">
        <v>129</v>
      </c>
      <c r="B137" s="17" t="s">
        <v>336</v>
      </c>
      <c r="C137" s="17" t="s">
        <v>337</v>
      </c>
      <c r="D137" s="64">
        <v>62</v>
      </c>
      <c r="E137" s="64">
        <v>5</v>
      </c>
      <c r="F137" s="32">
        <v>1188</v>
      </c>
      <c r="G137" s="32"/>
      <c r="H137" s="32"/>
      <c r="I137" s="32"/>
      <c r="J137" s="20"/>
      <c r="K137" s="20"/>
      <c r="L137" s="20"/>
      <c r="M137" s="20"/>
      <c r="N137" s="20"/>
      <c r="O137" s="20"/>
      <c r="P137" s="20"/>
      <c r="Q137" s="32"/>
      <c r="R137" s="64"/>
      <c r="S137" s="32"/>
      <c r="T137" s="13"/>
      <c r="U137" s="13"/>
    </row>
    <row r="138" spans="1:21">
      <c r="A138" s="17">
        <v>130</v>
      </c>
      <c r="B138" s="18" t="s">
        <v>338</v>
      </c>
      <c r="C138" s="18" t="s">
        <v>339</v>
      </c>
      <c r="D138" s="23">
        <v>685</v>
      </c>
      <c r="E138" s="23">
        <v>5444</v>
      </c>
      <c r="F138" s="20">
        <f>144535-10-1-5</f>
        <v>144519</v>
      </c>
      <c r="G138" s="20">
        <f>97473-10-1-5</f>
        <v>97457</v>
      </c>
      <c r="H138" s="20">
        <v>433</v>
      </c>
      <c r="I138" s="20"/>
      <c r="J138" s="20">
        <v>1810</v>
      </c>
      <c r="K138" s="20"/>
      <c r="L138" s="24">
        <v>0</v>
      </c>
      <c r="M138" s="20"/>
      <c r="N138" s="20"/>
      <c r="O138" s="20"/>
      <c r="P138" s="20"/>
      <c r="Q138" s="20"/>
      <c r="R138" s="23">
        <v>3</v>
      </c>
      <c r="S138" s="20"/>
      <c r="T138" s="13"/>
      <c r="U138" s="13"/>
    </row>
    <row r="139" spans="1:21">
      <c r="A139" s="17">
        <v>131</v>
      </c>
      <c r="B139" s="18" t="s">
        <v>340</v>
      </c>
      <c r="C139" s="18" t="s">
        <v>341</v>
      </c>
      <c r="D139" s="23">
        <v>316</v>
      </c>
      <c r="E139" s="23"/>
      <c r="F139" s="20">
        <v>316</v>
      </c>
      <c r="G139" s="20"/>
      <c r="H139" s="20"/>
      <c r="I139" s="20"/>
      <c r="J139" s="20"/>
      <c r="K139" s="20"/>
      <c r="L139" s="20"/>
      <c r="M139" s="20"/>
      <c r="N139" s="20"/>
      <c r="O139" s="20"/>
      <c r="P139" s="20"/>
      <c r="Q139" s="20"/>
      <c r="R139" s="23"/>
      <c r="S139" s="20"/>
      <c r="T139" s="13"/>
      <c r="U139" s="13"/>
    </row>
    <row r="140" ht="36" spans="1:21">
      <c r="A140" s="17">
        <v>132</v>
      </c>
      <c r="B140" s="17" t="s">
        <v>342</v>
      </c>
      <c r="C140" s="17" t="s">
        <v>343</v>
      </c>
      <c r="D140" s="31">
        <v>237</v>
      </c>
      <c r="E140" s="27">
        <f>589+3</f>
        <v>592</v>
      </c>
      <c r="F140" s="24">
        <f>9190-85-15-6.4+17</f>
        <v>9100.6</v>
      </c>
      <c r="G140" s="32"/>
      <c r="H140" s="32"/>
      <c r="I140" s="32"/>
      <c r="J140" s="20"/>
      <c r="K140" s="20"/>
      <c r="L140" s="24">
        <f>954+220</f>
        <v>1174</v>
      </c>
      <c r="M140" s="20"/>
      <c r="N140" s="20"/>
      <c r="O140" s="20"/>
      <c r="P140" s="20"/>
      <c r="Q140" s="32"/>
      <c r="R140" s="17"/>
      <c r="S140" s="33"/>
      <c r="T140" s="35" t="s">
        <v>344</v>
      </c>
      <c r="U140" s="35" t="s">
        <v>345</v>
      </c>
    </row>
    <row r="141" ht="18" spans="1:21">
      <c r="A141" s="17">
        <v>133</v>
      </c>
      <c r="B141" s="18" t="s">
        <v>346</v>
      </c>
      <c r="C141" s="18" t="s">
        <v>347</v>
      </c>
      <c r="D141" s="23">
        <v>97</v>
      </c>
      <c r="E141" s="23"/>
      <c r="F141" s="20">
        <v>97</v>
      </c>
      <c r="G141" s="20"/>
      <c r="H141" s="20"/>
      <c r="I141" s="20"/>
      <c r="J141" s="20"/>
      <c r="K141" s="20"/>
      <c r="L141" s="20"/>
      <c r="M141" s="20"/>
      <c r="N141" s="20"/>
      <c r="O141" s="20"/>
      <c r="P141" s="20"/>
      <c r="Q141" s="20"/>
      <c r="R141" s="23"/>
      <c r="S141" s="20"/>
      <c r="T141" s="13"/>
      <c r="U141" s="13"/>
    </row>
    <row r="142" ht="18" spans="1:21">
      <c r="A142" s="17">
        <v>134</v>
      </c>
      <c r="B142" s="18" t="s">
        <v>348</v>
      </c>
      <c r="C142" s="18" t="s">
        <v>349</v>
      </c>
      <c r="D142" s="23">
        <v>58</v>
      </c>
      <c r="E142" s="23">
        <v>19</v>
      </c>
      <c r="F142" s="24">
        <f>1122.6+58.8</f>
        <v>1181.4</v>
      </c>
      <c r="G142" s="20"/>
      <c r="H142" s="20"/>
      <c r="I142" s="20"/>
      <c r="J142" s="20"/>
      <c r="K142" s="20"/>
      <c r="L142" s="20"/>
      <c r="M142" s="20"/>
      <c r="N142" s="20"/>
      <c r="O142" s="20"/>
      <c r="P142" s="20"/>
      <c r="Q142" s="20"/>
      <c r="R142" s="23"/>
      <c r="S142" s="20"/>
      <c r="T142" s="35" t="s">
        <v>350</v>
      </c>
      <c r="U142" s="13"/>
    </row>
    <row r="143" ht="18" spans="1:21">
      <c r="A143" s="17">
        <v>135</v>
      </c>
      <c r="B143" s="18" t="s">
        <v>351</v>
      </c>
      <c r="C143" s="18" t="s">
        <v>352</v>
      </c>
      <c r="D143" s="23">
        <v>116</v>
      </c>
      <c r="E143" s="23">
        <v>5</v>
      </c>
      <c r="F143" s="20">
        <v>784</v>
      </c>
      <c r="G143" s="20"/>
      <c r="H143" s="20"/>
      <c r="I143" s="20"/>
      <c r="J143" s="20"/>
      <c r="K143" s="20"/>
      <c r="L143" s="20"/>
      <c r="M143" s="20"/>
      <c r="N143" s="20"/>
      <c r="O143" s="20"/>
      <c r="P143" s="20"/>
      <c r="Q143" s="20"/>
      <c r="R143" s="23"/>
      <c r="S143" s="20"/>
      <c r="T143" s="13"/>
      <c r="U143" s="13"/>
    </row>
    <row r="144" ht="18" spans="1:21">
      <c r="A144" s="17">
        <v>136</v>
      </c>
      <c r="B144" s="18" t="s">
        <v>351</v>
      </c>
      <c r="C144" s="18" t="s">
        <v>353</v>
      </c>
      <c r="D144" s="23">
        <v>237</v>
      </c>
      <c r="E144" s="23">
        <f>250</f>
        <v>250</v>
      </c>
      <c r="F144" s="20">
        <f>5656-298.1</f>
        <v>5357.9</v>
      </c>
      <c r="G144" s="20">
        <f>5656-298.1</f>
        <v>5357.9</v>
      </c>
      <c r="H144" s="20"/>
      <c r="I144" s="20"/>
      <c r="J144" s="20">
        <v>1100</v>
      </c>
      <c r="K144" s="20"/>
      <c r="L144" s="20"/>
      <c r="M144" s="20"/>
      <c r="N144" s="20">
        <v>16</v>
      </c>
      <c r="O144" s="20"/>
      <c r="P144" s="20"/>
      <c r="Q144" s="20"/>
      <c r="R144" s="23"/>
      <c r="S144" s="20"/>
      <c r="T144" s="13"/>
      <c r="U144" s="13"/>
    </row>
    <row r="145" spans="1:21">
      <c r="A145" s="17">
        <v>137</v>
      </c>
      <c r="B145" s="18" t="s">
        <v>354</v>
      </c>
      <c r="C145" s="18" t="s">
        <v>355</v>
      </c>
      <c r="D145" s="23">
        <v>273</v>
      </c>
      <c r="E145" s="23">
        <v>32</v>
      </c>
      <c r="F145" s="20">
        <v>1637</v>
      </c>
      <c r="G145" s="20"/>
      <c r="H145" s="20"/>
      <c r="I145" s="20"/>
      <c r="J145" s="20"/>
      <c r="K145" s="20"/>
      <c r="L145" s="20"/>
      <c r="M145" s="20"/>
      <c r="N145" s="20"/>
      <c r="O145" s="20"/>
      <c r="P145" s="20"/>
      <c r="Q145" s="20"/>
      <c r="R145" s="23"/>
      <c r="S145" s="20"/>
      <c r="T145" s="13"/>
      <c r="U145" s="13"/>
    </row>
    <row r="146" ht="18" spans="1:21">
      <c r="A146" s="17">
        <v>138</v>
      </c>
      <c r="B146" s="17" t="s">
        <v>356</v>
      </c>
      <c r="C146" s="17" t="s">
        <v>357</v>
      </c>
      <c r="D146" s="64">
        <v>494</v>
      </c>
      <c r="E146" s="64">
        <v>443</v>
      </c>
      <c r="F146" s="32">
        <f>10733-1</f>
        <v>10732</v>
      </c>
      <c r="G146" s="32"/>
      <c r="H146" s="32"/>
      <c r="I146" s="32"/>
      <c r="J146" s="20"/>
      <c r="K146" s="20"/>
      <c r="L146" s="20">
        <v>2734</v>
      </c>
      <c r="M146" s="20"/>
      <c r="N146" s="20"/>
      <c r="O146" s="20"/>
      <c r="P146" s="20"/>
      <c r="Q146" s="32"/>
      <c r="R146" s="64"/>
      <c r="S146" s="32"/>
      <c r="T146" s="13"/>
      <c r="U146" s="13"/>
    </row>
    <row r="147" s="2" customFormat="1" ht="27" spans="1:21">
      <c r="A147" s="17">
        <v>139</v>
      </c>
      <c r="B147" s="17" t="s">
        <v>358</v>
      </c>
      <c r="C147" s="18" t="s">
        <v>359</v>
      </c>
      <c r="D147" s="31"/>
      <c r="E147" s="31">
        <f>4333</f>
        <v>4333</v>
      </c>
      <c r="F147" s="32">
        <f>57060.3-3</f>
        <v>57057.3</v>
      </c>
      <c r="G147" s="32">
        <v>56875</v>
      </c>
      <c r="H147" s="32"/>
      <c r="I147" s="32"/>
      <c r="J147" s="20">
        <v>24102</v>
      </c>
      <c r="K147" s="20">
        <v>55312</v>
      </c>
      <c r="L147" s="20"/>
      <c r="M147" s="20"/>
      <c r="N147" s="20"/>
      <c r="O147" s="20">
        <v>70</v>
      </c>
      <c r="P147" s="20">
        <v>1021</v>
      </c>
      <c r="Q147" s="32">
        <v>36</v>
      </c>
      <c r="R147" s="31">
        <v>26</v>
      </c>
      <c r="S147" s="32">
        <v>136474.3</v>
      </c>
      <c r="T147" s="36"/>
      <c r="U147" s="36"/>
    </row>
    <row r="148" ht="63" spans="1:21">
      <c r="A148" s="17">
        <v>140</v>
      </c>
      <c r="B148" s="18" t="s">
        <v>360</v>
      </c>
      <c r="C148" s="18" t="s">
        <v>361</v>
      </c>
      <c r="D148" s="23">
        <v>580</v>
      </c>
      <c r="E148" s="51">
        <f>549+50</f>
        <v>599</v>
      </c>
      <c r="F148" s="24">
        <f>10126-1+549.2</f>
        <v>10674.2</v>
      </c>
      <c r="G148" s="20"/>
      <c r="H148" s="20"/>
      <c r="I148" s="20"/>
      <c r="J148" s="20"/>
      <c r="K148" s="20"/>
      <c r="L148" s="24">
        <f>2274+218.5</f>
        <v>2492.5</v>
      </c>
      <c r="M148" s="20"/>
      <c r="N148" s="20"/>
      <c r="O148" s="20"/>
      <c r="P148" s="20"/>
      <c r="Q148" s="20"/>
      <c r="R148" s="23"/>
      <c r="S148" s="20"/>
      <c r="T148" s="35" t="s">
        <v>362</v>
      </c>
      <c r="U148" s="35" t="s">
        <v>363</v>
      </c>
    </row>
    <row r="149" ht="18" spans="1:21">
      <c r="A149" s="17">
        <v>141</v>
      </c>
      <c r="B149" s="18" t="s">
        <v>364</v>
      </c>
      <c r="C149" s="18" t="s">
        <v>365</v>
      </c>
      <c r="D149" s="23">
        <v>122</v>
      </c>
      <c r="E149" s="23">
        <v>158</v>
      </c>
      <c r="F149" s="20">
        <v>4263.07</v>
      </c>
      <c r="G149" s="20"/>
      <c r="H149" s="20"/>
      <c r="I149" s="20"/>
      <c r="J149" s="20"/>
      <c r="K149" s="20"/>
      <c r="L149" s="20">
        <v>1812</v>
      </c>
      <c r="M149" s="20"/>
      <c r="N149" s="20"/>
      <c r="O149" s="20"/>
      <c r="P149" s="20"/>
      <c r="Q149" s="20"/>
      <c r="R149" s="23"/>
      <c r="S149" s="20"/>
      <c r="T149" s="13"/>
      <c r="U149" s="13"/>
    </row>
    <row r="150" ht="18" spans="1:21">
      <c r="A150" s="17">
        <v>142</v>
      </c>
      <c r="B150" s="17" t="s">
        <v>364</v>
      </c>
      <c r="C150" s="17" t="s">
        <v>366</v>
      </c>
      <c r="D150" s="17">
        <v>167</v>
      </c>
      <c r="E150" s="17">
        <v>254</v>
      </c>
      <c r="F150" s="32">
        <v>2062</v>
      </c>
      <c r="G150" s="32"/>
      <c r="H150" s="32"/>
      <c r="I150" s="32"/>
      <c r="J150" s="20"/>
      <c r="K150" s="20"/>
      <c r="L150" s="20"/>
      <c r="M150" s="20"/>
      <c r="N150" s="20"/>
      <c r="O150" s="20"/>
      <c r="P150" s="20"/>
      <c r="Q150" s="32"/>
      <c r="R150" s="17"/>
      <c r="S150" s="33"/>
      <c r="T150" s="13"/>
      <c r="U150" s="13"/>
    </row>
    <row r="151" ht="18" spans="1:21">
      <c r="A151" s="17">
        <v>143</v>
      </c>
      <c r="B151" s="17" t="s">
        <v>367</v>
      </c>
      <c r="C151" s="17" t="s">
        <v>368</v>
      </c>
      <c r="D151" s="64">
        <f>49+11</f>
        <v>60</v>
      </c>
      <c r="E151" s="64">
        <f>251+61</f>
        <v>312</v>
      </c>
      <c r="F151" s="32">
        <f>2349+960.85-32.4</f>
        <v>3277.45</v>
      </c>
      <c r="G151" s="32"/>
      <c r="H151" s="32"/>
      <c r="I151" s="32"/>
      <c r="J151" s="20"/>
      <c r="K151" s="20"/>
      <c r="L151" s="20">
        <v>485</v>
      </c>
      <c r="M151" s="20"/>
      <c r="N151" s="20"/>
      <c r="O151" s="20"/>
      <c r="P151" s="20"/>
      <c r="Q151" s="32"/>
      <c r="R151" s="64"/>
      <c r="S151" s="32"/>
      <c r="T151" s="13"/>
      <c r="U151" s="13"/>
    </row>
    <row r="152" ht="32" customHeight="1" spans="1:21">
      <c r="A152" s="17">
        <v>144</v>
      </c>
      <c r="B152" s="18" t="s">
        <v>369</v>
      </c>
      <c r="C152" s="18" t="s">
        <v>370</v>
      </c>
      <c r="D152" s="23">
        <v>96</v>
      </c>
      <c r="E152" s="23">
        <v>9</v>
      </c>
      <c r="F152" s="20">
        <v>326.5</v>
      </c>
      <c r="G152" s="20"/>
      <c r="H152" s="20"/>
      <c r="I152" s="20"/>
      <c r="J152" s="20"/>
      <c r="K152" s="20"/>
      <c r="L152" s="20">
        <v>76</v>
      </c>
      <c r="M152" s="20"/>
      <c r="N152" s="20"/>
      <c r="O152" s="20"/>
      <c r="P152" s="20"/>
      <c r="Q152" s="20"/>
      <c r="R152" s="23"/>
      <c r="S152" s="20"/>
      <c r="T152" s="13"/>
      <c r="U152" s="13"/>
    </row>
    <row r="153" spans="1:21">
      <c r="A153" s="17">
        <v>145</v>
      </c>
      <c r="B153" s="26" t="s">
        <v>371</v>
      </c>
      <c r="C153" s="26" t="s">
        <v>372</v>
      </c>
      <c r="D153" s="51">
        <v>25</v>
      </c>
      <c r="E153" s="51"/>
      <c r="F153" s="24">
        <v>25</v>
      </c>
      <c r="G153" s="20"/>
      <c r="H153" s="20"/>
      <c r="I153" s="20"/>
      <c r="J153" s="20"/>
      <c r="K153" s="20"/>
      <c r="L153" s="20"/>
      <c r="M153" s="20"/>
      <c r="N153" s="20"/>
      <c r="O153" s="20"/>
      <c r="P153" s="20"/>
      <c r="Q153" s="20"/>
      <c r="R153" s="23"/>
      <c r="S153" s="20"/>
      <c r="T153" s="35"/>
      <c r="U153" s="13"/>
    </row>
    <row r="154" spans="1:21">
      <c r="A154" s="17">
        <v>146</v>
      </c>
      <c r="B154" s="26" t="s">
        <v>373</v>
      </c>
      <c r="C154" s="26" t="s">
        <v>374</v>
      </c>
      <c r="D154" s="26">
        <v>145</v>
      </c>
      <c r="E154" s="26"/>
      <c r="F154" s="24">
        <v>755.18</v>
      </c>
      <c r="G154" s="24"/>
      <c r="H154" s="24"/>
      <c r="I154" s="24"/>
      <c r="J154" s="24"/>
      <c r="K154" s="24"/>
      <c r="L154" s="24">
        <v>1066</v>
      </c>
      <c r="M154" s="24"/>
      <c r="N154" s="24"/>
      <c r="O154" s="24"/>
      <c r="P154" s="24"/>
      <c r="Q154" s="24"/>
      <c r="R154" s="26"/>
      <c r="S154" s="28"/>
      <c r="T154" s="13"/>
      <c r="U154" s="13"/>
    </row>
    <row r="155" ht="27" spans="1:21">
      <c r="A155" s="17">
        <v>147</v>
      </c>
      <c r="B155" s="26" t="s">
        <v>375</v>
      </c>
      <c r="C155" s="26" t="s">
        <v>376</v>
      </c>
      <c r="D155" s="26">
        <f>58+22</f>
        <v>80</v>
      </c>
      <c r="E155" s="26"/>
      <c r="F155" s="24">
        <f>226+37.8</f>
        <v>263.8</v>
      </c>
      <c r="G155" s="24"/>
      <c r="H155" s="24"/>
      <c r="I155" s="24"/>
      <c r="J155" s="24"/>
      <c r="K155" s="24"/>
      <c r="L155" s="24">
        <v>81</v>
      </c>
      <c r="M155" s="24"/>
      <c r="N155" s="24"/>
      <c r="O155" s="24"/>
      <c r="P155" s="24"/>
      <c r="Q155" s="24"/>
      <c r="R155" s="26"/>
      <c r="S155" s="28"/>
      <c r="T155" s="35" t="s">
        <v>377</v>
      </c>
      <c r="U155" s="13"/>
    </row>
    <row r="156" spans="1:21">
      <c r="A156" s="17">
        <v>148</v>
      </c>
      <c r="B156" s="26" t="s">
        <v>378</v>
      </c>
      <c r="C156" s="26" t="s">
        <v>376</v>
      </c>
      <c r="D156" s="26">
        <v>93</v>
      </c>
      <c r="E156" s="26"/>
      <c r="F156" s="24">
        <v>492</v>
      </c>
      <c r="G156" s="24"/>
      <c r="H156" s="24"/>
      <c r="I156" s="24"/>
      <c r="J156" s="24"/>
      <c r="K156" s="24"/>
      <c r="L156" s="24">
        <v>319</v>
      </c>
      <c r="M156" s="24"/>
      <c r="N156" s="24"/>
      <c r="O156" s="24"/>
      <c r="P156" s="24"/>
      <c r="Q156" s="24"/>
      <c r="R156" s="26"/>
      <c r="S156" s="28"/>
      <c r="T156" s="13"/>
      <c r="U156" s="13"/>
    </row>
    <row r="157" ht="72" spans="1:21">
      <c r="A157" s="17">
        <v>149</v>
      </c>
      <c r="B157" s="26" t="s">
        <v>379</v>
      </c>
      <c r="C157" s="26" t="s">
        <v>380</v>
      </c>
      <c r="D157" s="26"/>
      <c r="E157" s="26">
        <v>286</v>
      </c>
      <c r="F157" s="24">
        <v>12020</v>
      </c>
      <c r="G157" s="24">
        <v>12020</v>
      </c>
      <c r="H157" s="24"/>
      <c r="I157" s="24"/>
      <c r="J157" s="24">
        <v>600</v>
      </c>
      <c r="K157" s="24"/>
      <c r="L157" s="24">
        <v>15</v>
      </c>
      <c r="M157" s="24"/>
      <c r="N157" s="24">
        <v>16</v>
      </c>
      <c r="O157" s="24">
        <v>30</v>
      </c>
      <c r="P157" s="24"/>
      <c r="Q157" s="24">
        <v>13.2</v>
      </c>
      <c r="R157" s="26">
        <v>3</v>
      </c>
      <c r="S157" s="28"/>
      <c r="T157" s="13"/>
      <c r="U157" s="13"/>
    </row>
    <row r="158" s="2" customFormat="1" ht="18" spans="1:21">
      <c r="A158" s="17">
        <v>150</v>
      </c>
      <c r="B158" s="17" t="s">
        <v>326</v>
      </c>
      <c r="C158" s="18" t="s">
        <v>357</v>
      </c>
      <c r="D158" s="17">
        <f>185+136</f>
        <v>321</v>
      </c>
      <c r="E158" s="17">
        <f>531+139</f>
        <v>670</v>
      </c>
      <c r="F158" s="32">
        <f>5198.5+3119.3-1-2-855</f>
        <v>7459.8</v>
      </c>
      <c r="G158" s="59"/>
      <c r="H158" s="59"/>
      <c r="I158" s="59"/>
      <c r="J158" s="20"/>
      <c r="K158" s="20"/>
      <c r="L158" s="20">
        <v>332</v>
      </c>
      <c r="M158" s="20"/>
      <c r="N158" s="20"/>
      <c r="O158" s="20"/>
      <c r="P158" s="41"/>
      <c r="Q158" s="59"/>
      <c r="R158" s="58"/>
      <c r="S158" s="65"/>
      <c r="T158" s="36"/>
      <c r="U158" s="36"/>
    </row>
    <row r="159" s="2" customFormat="1" ht="18" spans="1:21">
      <c r="A159" s="17">
        <v>151</v>
      </c>
      <c r="B159" s="17" t="s">
        <v>381</v>
      </c>
      <c r="C159" s="17" t="s">
        <v>382</v>
      </c>
      <c r="D159" s="17">
        <f>205-3</f>
        <v>202</v>
      </c>
      <c r="E159" s="17">
        <v>0</v>
      </c>
      <c r="F159" s="32">
        <f>1810.44-21</f>
        <v>1789.44</v>
      </c>
      <c r="G159" s="32"/>
      <c r="H159" s="32"/>
      <c r="I159" s="32"/>
      <c r="J159" s="20"/>
      <c r="K159" s="20"/>
      <c r="L159" s="20">
        <f>1358.2</f>
        <v>1358.2</v>
      </c>
      <c r="M159" s="20"/>
      <c r="N159" s="20"/>
      <c r="O159" s="20"/>
      <c r="P159" s="20"/>
      <c r="Q159" s="32"/>
      <c r="R159" s="17"/>
      <c r="S159" s="33"/>
      <c r="T159" s="36"/>
      <c r="U159" s="36"/>
    </row>
    <row r="160" s="2" customFormat="1" ht="18" spans="1:21">
      <c r="A160" s="17">
        <v>152</v>
      </c>
      <c r="B160" s="17" t="s">
        <v>383</v>
      </c>
      <c r="C160" s="17" t="s">
        <v>384</v>
      </c>
      <c r="D160" s="31">
        <v>93</v>
      </c>
      <c r="E160" s="31">
        <v>4</v>
      </c>
      <c r="F160" s="32">
        <v>1623</v>
      </c>
      <c r="G160" s="32"/>
      <c r="H160" s="32"/>
      <c r="I160" s="32"/>
      <c r="J160" s="20"/>
      <c r="K160" s="20"/>
      <c r="L160" s="20"/>
      <c r="M160" s="20"/>
      <c r="N160" s="20"/>
      <c r="O160" s="20"/>
      <c r="P160" s="20"/>
      <c r="Q160" s="32"/>
      <c r="R160" s="17"/>
      <c r="S160" s="33"/>
      <c r="T160" s="36"/>
      <c r="U160" s="36"/>
    </row>
    <row r="161" s="2" customFormat="1" ht="18" spans="1:21">
      <c r="A161" s="17">
        <v>153</v>
      </c>
      <c r="B161" s="26" t="s">
        <v>385</v>
      </c>
      <c r="C161" s="26" t="s">
        <v>386</v>
      </c>
      <c r="D161" s="26">
        <v>164</v>
      </c>
      <c r="E161" s="26"/>
      <c r="F161" s="24">
        <v>1271.25</v>
      </c>
      <c r="G161" s="24"/>
      <c r="H161" s="24"/>
      <c r="I161" s="24"/>
      <c r="J161" s="24"/>
      <c r="K161" s="24"/>
      <c r="L161" s="24">
        <v>837</v>
      </c>
      <c r="M161" s="24"/>
      <c r="N161" s="24"/>
      <c r="O161" s="24"/>
      <c r="P161" s="24"/>
      <c r="Q161" s="24"/>
      <c r="R161" s="26"/>
      <c r="S161" s="28"/>
      <c r="T161" s="36"/>
      <c r="U161" s="36"/>
    </row>
    <row r="162" s="3" customFormat="1" spans="1:21">
      <c r="A162" s="37" t="s">
        <v>387</v>
      </c>
      <c r="B162" s="38"/>
      <c r="C162" s="39"/>
      <c r="D162" s="40">
        <f>SUM(D136:D161)</f>
        <v>4873</v>
      </c>
      <c r="E162" s="40">
        <f t="shared" ref="E162:S162" si="5">SUM(E136:E161)</f>
        <v>13515</v>
      </c>
      <c r="F162" s="41">
        <f t="shared" si="5"/>
        <v>285107.64</v>
      </c>
      <c r="G162" s="41">
        <f t="shared" si="5"/>
        <v>171709.9</v>
      </c>
      <c r="H162" s="41">
        <f t="shared" si="5"/>
        <v>433</v>
      </c>
      <c r="I162" s="41">
        <f t="shared" si="5"/>
        <v>0</v>
      </c>
      <c r="J162" s="41">
        <f t="shared" si="5"/>
        <v>29112</v>
      </c>
      <c r="K162" s="41">
        <f t="shared" si="5"/>
        <v>55312</v>
      </c>
      <c r="L162" s="41">
        <f t="shared" si="5"/>
        <v>12781.7</v>
      </c>
      <c r="M162" s="41">
        <f t="shared" si="5"/>
        <v>0</v>
      </c>
      <c r="N162" s="41">
        <f t="shared" si="5"/>
        <v>32</v>
      </c>
      <c r="O162" s="41">
        <f t="shared" si="5"/>
        <v>100</v>
      </c>
      <c r="P162" s="41">
        <f t="shared" si="5"/>
        <v>1021</v>
      </c>
      <c r="Q162" s="41">
        <f t="shared" si="5"/>
        <v>49.2</v>
      </c>
      <c r="R162" s="40">
        <f t="shared" si="5"/>
        <v>32</v>
      </c>
      <c r="S162" s="41">
        <f t="shared" si="5"/>
        <v>136474.3</v>
      </c>
      <c r="T162" s="42"/>
      <c r="U162" s="42"/>
    </row>
    <row r="163" s="2" customFormat="1" spans="1:21">
      <c r="A163" s="17">
        <v>154</v>
      </c>
      <c r="B163" s="17" t="s">
        <v>338</v>
      </c>
      <c r="C163" s="17" t="s">
        <v>388</v>
      </c>
      <c r="D163" s="17">
        <v>237</v>
      </c>
      <c r="E163" s="17">
        <f>1951</f>
        <v>1951</v>
      </c>
      <c r="F163" s="32">
        <f>69870-60</f>
        <v>69810</v>
      </c>
      <c r="G163" s="32">
        <f>40050-60</f>
        <v>39990</v>
      </c>
      <c r="H163" s="32">
        <v>335</v>
      </c>
      <c r="I163" s="32"/>
      <c r="J163" s="32">
        <v>1030</v>
      </c>
      <c r="K163" s="32"/>
      <c r="L163" s="32"/>
      <c r="M163" s="32"/>
      <c r="N163" s="32"/>
      <c r="O163" s="32"/>
      <c r="P163" s="32"/>
      <c r="Q163" s="32">
        <v>8</v>
      </c>
      <c r="R163" s="17"/>
      <c r="S163" s="33"/>
      <c r="T163" s="36"/>
      <c r="U163" s="36"/>
    </row>
    <row r="164" spans="1:21">
      <c r="A164" s="17">
        <v>155</v>
      </c>
      <c r="B164" s="18" t="s">
        <v>338</v>
      </c>
      <c r="C164" s="18" t="s">
        <v>389</v>
      </c>
      <c r="D164" s="18">
        <v>279</v>
      </c>
      <c r="E164" s="18">
        <v>1484</v>
      </c>
      <c r="F164" s="20">
        <v>45094</v>
      </c>
      <c r="G164" s="20">
        <v>19388</v>
      </c>
      <c r="H164" s="20"/>
      <c r="I164" s="20"/>
      <c r="J164" s="24">
        <v>90</v>
      </c>
      <c r="K164" s="20"/>
      <c r="L164" s="20"/>
      <c r="M164" s="20"/>
      <c r="N164" s="20"/>
      <c r="O164" s="20"/>
      <c r="P164" s="20"/>
      <c r="Q164" s="20"/>
      <c r="R164" s="18"/>
      <c r="S164" s="21"/>
      <c r="T164" s="66" t="s">
        <v>390</v>
      </c>
      <c r="U164" s="13"/>
    </row>
    <row r="165" spans="1:21">
      <c r="A165" s="17">
        <v>156</v>
      </c>
      <c r="B165" s="26" t="s">
        <v>391</v>
      </c>
      <c r="C165" s="26" t="s">
        <v>392</v>
      </c>
      <c r="D165" s="26">
        <v>103</v>
      </c>
      <c r="E165" s="26"/>
      <c r="F165" s="24">
        <v>231</v>
      </c>
      <c r="G165" s="24"/>
      <c r="H165" s="24"/>
      <c r="I165" s="24"/>
      <c r="J165" s="24"/>
      <c r="K165" s="24"/>
      <c r="L165" s="24"/>
      <c r="M165" s="24"/>
      <c r="N165" s="24"/>
      <c r="O165" s="24"/>
      <c r="P165" s="24"/>
      <c r="Q165" s="24"/>
      <c r="R165" s="26"/>
      <c r="S165" s="28"/>
      <c r="T165" s="13"/>
      <c r="U165" s="13"/>
    </row>
    <row r="166" spans="1:21">
      <c r="A166" s="17">
        <v>157</v>
      </c>
      <c r="B166" s="26" t="s">
        <v>393</v>
      </c>
      <c r="C166" s="26" t="s">
        <v>394</v>
      </c>
      <c r="D166" s="26">
        <v>161</v>
      </c>
      <c r="E166" s="26"/>
      <c r="F166" s="24">
        <v>211</v>
      </c>
      <c r="G166" s="24"/>
      <c r="H166" s="24"/>
      <c r="I166" s="24"/>
      <c r="J166" s="24"/>
      <c r="K166" s="24"/>
      <c r="L166" s="24"/>
      <c r="M166" s="24"/>
      <c r="N166" s="24"/>
      <c r="O166" s="24"/>
      <c r="P166" s="24"/>
      <c r="Q166" s="24"/>
      <c r="R166" s="26"/>
      <c r="S166" s="28"/>
      <c r="T166" s="13"/>
      <c r="U166" s="13"/>
    </row>
    <row r="167" ht="18" spans="1:21">
      <c r="A167" s="17">
        <v>158</v>
      </c>
      <c r="B167" s="26" t="s">
        <v>395</v>
      </c>
      <c r="C167" s="26" t="s">
        <v>396</v>
      </c>
      <c r="D167" s="26">
        <v>270</v>
      </c>
      <c r="E167" s="26">
        <v>124</v>
      </c>
      <c r="F167" s="24">
        <v>2716</v>
      </c>
      <c r="G167" s="24"/>
      <c r="H167" s="24"/>
      <c r="I167" s="24"/>
      <c r="J167" s="24"/>
      <c r="K167" s="24"/>
      <c r="L167" s="24">
        <v>413</v>
      </c>
      <c r="M167" s="24"/>
      <c r="N167" s="24"/>
      <c r="O167" s="24"/>
      <c r="P167" s="24"/>
      <c r="Q167" s="24"/>
      <c r="R167" s="26"/>
      <c r="S167" s="28"/>
      <c r="T167" s="13"/>
      <c r="U167" s="13"/>
    </row>
    <row r="168" s="2" customFormat="1" spans="1:21">
      <c r="A168" s="17">
        <v>159</v>
      </c>
      <c r="B168" s="26" t="s">
        <v>395</v>
      </c>
      <c r="C168" s="26" t="s">
        <v>397</v>
      </c>
      <c r="D168" s="26">
        <v>52</v>
      </c>
      <c r="E168" s="26">
        <v>13</v>
      </c>
      <c r="F168" s="24">
        <v>912</v>
      </c>
      <c r="G168" s="24"/>
      <c r="H168" s="24"/>
      <c r="I168" s="24"/>
      <c r="J168" s="24"/>
      <c r="K168" s="24"/>
      <c r="L168" s="24">
        <v>242</v>
      </c>
      <c r="M168" s="24"/>
      <c r="N168" s="24"/>
      <c r="O168" s="24"/>
      <c r="P168" s="24"/>
      <c r="Q168" s="24"/>
      <c r="R168" s="26"/>
      <c r="S168" s="28"/>
      <c r="T168" s="36"/>
      <c r="U168" s="36"/>
    </row>
    <row r="169" s="2" customFormat="1" spans="1:21">
      <c r="A169" s="17">
        <v>160</v>
      </c>
      <c r="B169" s="26" t="s">
        <v>398</v>
      </c>
      <c r="C169" s="26" t="s">
        <v>399</v>
      </c>
      <c r="D169" s="26">
        <v>50</v>
      </c>
      <c r="E169" s="26"/>
      <c r="F169" s="24">
        <v>50</v>
      </c>
      <c r="G169" s="24"/>
      <c r="H169" s="24"/>
      <c r="I169" s="24"/>
      <c r="J169" s="24"/>
      <c r="K169" s="24"/>
      <c r="L169" s="24"/>
      <c r="M169" s="24"/>
      <c r="N169" s="24"/>
      <c r="O169" s="24"/>
      <c r="P169" s="24"/>
      <c r="Q169" s="24"/>
      <c r="R169" s="26"/>
      <c r="S169" s="28"/>
      <c r="T169" s="36"/>
      <c r="U169" s="36"/>
    </row>
    <row r="170" s="1" customFormat="1" spans="1:21">
      <c r="A170" s="17">
        <v>161</v>
      </c>
      <c r="B170" s="67" t="s">
        <v>400</v>
      </c>
      <c r="C170" s="68" t="s">
        <v>401</v>
      </c>
      <c r="D170" s="69">
        <v>198</v>
      </c>
      <c r="E170" s="69"/>
      <c r="F170" s="70">
        <v>198</v>
      </c>
      <c r="G170" s="32"/>
      <c r="H170" s="32"/>
      <c r="I170" s="32"/>
      <c r="J170" s="32"/>
      <c r="K170" s="32"/>
      <c r="L170" s="32">
        <f>3400-3400</f>
        <v>0</v>
      </c>
      <c r="M170" s="32"/>
      <c r="N170" s="32"/>
      <c r="O170" s="32"/>
      <c r="P170" s="32"/>
      <c r="Q170" s="32"/>
      <c r="R170" s="17"/>
      <c r="S170" s="65"/>
      <c r="T170" s="66" t="s">
        <v>402</v>
      </c>
      <c r="U170" s="34"/>
    </row>
    <row r="171" spans="1:21">
      <c r="A171" s="17">
        <v>162</v>
      </c>
      <c r="B171" s="17" t="s">
        <v>400</v>
      </c>
      <c r="C171" s="17" t="s">
        <v>403</v>
      </c>
      <c r="D171" s="31">
        <v>331</v>
      </c>
      <c r="E171" s="31">
        <v>252</v>
      </c>
      <c r="F171" s="32">
        <f>9753-1</f>
        <v>9752</v>
      </c>
      <c r="G171" s="32"/>
      <c r="H171" s="32"/>
      <c r="I171" s="32"/>
      <c r="J171" s="32"/>
      <c r="K171" s="32"/>
      <c r="L171" s="32">
        <v>3443.5</v>
      </c>
      <c r="M171" s="32"/>
      <c r="N171" s="32"/>
      <c r="O171" s="32"/>
      <c r="P171" s="32"/>
      <c r="Q171" s="32"/>
      <c r="R171" s="17"/>
      <c r="S171" s="65"/>
      <c r="T171" s="13"/>
      <c r="U171" s="13"/>
    </row>
    <row r="172" spans="1:21">
      <c r="A172" s="17">
        <v>163</v>
      </c>
      <c r="B172" s="71" t="s">
        <v>404</v>
      </c>
      <c r="C172" s="71" t="s">
        <v>405</v>
      </c>
      <c r="D172" s="72">
        <v>40</v>
      </c>
      <c r="E172" s="72"/>
      <c r="F172" s="73">
        <v>40</v>
      </c>
      <c r="G172" s="73"/>
      <c r="H172" s="73"/>
      <c r="I172" s="73"/>
      <c r="J172" s="73"/>
      <c r="K172" s="73"/>
      <c r="L172" s="73"/>
      <c r="M172" s="73"/>
      <c r="N172" s="73"/>
      <c r="O172" s="73"/>
      <c r="P172" s="73"/>
      <c r="Q172" s="73"/>
      <c r="R172" s="72"/>
      <c r="S172" s="32"/>
      <c r="T172" s="13"/>
      <c r="U172" s="13"/>
    </row>
    <row r="173" spans="1:21">
      <c r="A173" s="17">
        <v>164</v>
      </c>
      <c r="B173" s="26" t="s">
        <v>404</v>
      </c>
      <c r="C173" s="26" t="s">
        <v>406</v>
      </c>
      <c r="D173" s="26"/>
      <c r="E173" s="26">
        <v>7</v>
      </c>
      <c r="F173" s="24">
        <v>1683</v>
      </c>
      <c r="G173" s="24">
        <v>1683</v>
      </c>
      <c r="H173" s="24"/>
      <c r="I173" s="24"/>
      <c r="J173" s="24"/>
      <c r="K173" s="24"/>
      <c r="L173" s="24"/>
      <c r="M173" s="24"/>
      <c r="N173" s="24"/>
      <c r="O173" s="24"/>
      <c r="P173" s="24"/>
      <c r="Q173" s="24"/>
      <c r="R173" s="26"/>
      <c r="S173" s="28"/>
      <c r="T173" s="13"/>
      <c r="U173" s="13"/>
    </row>
    <row r="174" customFormat="1" spans="1:21">
      <c r="A174" s="17">
        <v>165</v>
      </c>
      <c r="B174" s="26" t="s">
        <v>407</v>
      </c>
      <c r="C174" s="26" t="s">
        <v>408</v>
      </c>
      <c r="D174" s="26">
        <v>53</v>
      </c>
      <c r="E174" s="26"/>
      <c r="F174" s="24">
        <v>76.32</v>
      </c>
      <c r="G174" s="24"/>
      <c r="H174" s="24"/>
      <c r="I174" s="24"/>
      <c r="J174" s="24"/>
      <c r="K174" s="24"/>
      <c r="L174" s="24"/>
      <c r="M174" s="24"/>
      <c r="N174" s="24"/>
      <c r="O174" s="24"/>
      <c r="P174" s="24"/>
      <c r="Q174" s="24"/>
      <c r="R174" s="26"/>
      <c r="S174" s="28"/>
      <c r="T174" s="13"/>
      <c r="U174" s="13"/>
    </row>
    <row r="175" customFormat="1" spans="1:21">
      <c r="A175" s="17">
        <v>166</v>
      </c>
      <c r="B175" s="17" t="s">
        <v>409</v>
      </c>
      <c r="C175" s="17" t="s">
        <v>410</v>
      </c>
      <c r="D175" s="26">
        <v>76</v>
      </c>
      <c r="E175" s="26"/>
      <c r="F175" s="24">
        <v>76</v>
      </c>
      <c r="G175" s="24"/>
      <c r="H175" s="24"/>
      <c r="I175" s="24"/>
      <c r="J175" s="24"/>
      <c r="K175" s="24"/>
      <c r="L175" s="24"/>
      <c r="M175" s="24"/>
      <c r="N175" s="24"/>
      <c r="O175" s="24"/>
      <c r="P175" s="24"/>
      <c r="Q175" s="24"/>
      <c r="R175" s="26"/>
      <c r="S175" s="28"/>
      <c r="T175" s="13"/>
      <c r="U175" s="13"/>
    </row>
    <row r="176" s="1" customFormat="1" ht="18" spans="1:21">
      <c r="A176" s="17">
        <v>167</v>
      </c>
      <c r="B176" s="18" t="s">
        <v>411</v>
      </c>
      <c r="C176" s="18" t="s">
        <v>412</v>
      </c>
      <c r="D176" s="27">
        <v>38</v>
      </c>
      <c r="E176" s="27">
        <v>10</v>
      </c>
      <c r="F176" s="24">
        <v>561.4</v>
      </c>
      <c r="G176" s="20"/>
      <c r="H176" s="20"/>
      <c r="I176" s="20"/>
      <c r="J176" s="20"/>
      <c r="K176" s="20"/>
      <c r="L176" s="20"/>
      <c r="M176" s="20"/>
      <c r="N176" s="20"/>
      <c r="O176" s="20"/>
      <c r="P176" s="20"/>
      <c r="Q176" s="20"/>
      <c r="R176" s="18"/>
      <c r="S176" s="33"/>
      <c r="T176" s="66" t="s">
        <v>413</v>
      </c>
      <c r="U176" s="34"/>
    </row>
    <row r="177" ht="18" spans="1:21">
      <c r="A177" s="17">
        <v>168</v>
      </c>
      <c r="B177" s="18" t="s">
        <v>411</v>
      </c>
      <c r="C177" s="18" t="s">
        <v>414</v>
      </c>
      <c r="D177" s="18">
        <v>212</v>
      </c>
      <c r="E177" s="18"/>
      <c r="F177" s="20">
        <v>212</v>
      </c>
      <c r="G177" s="20"/>
      <c r="H177" s="20"/>
      <c r="I177" s="20"/>
      <c r="J177" s="20"/>
      <c r="K177" s="20"/>
      <c r="L177" s="20"/>
      <c r="M177" s="20"/>
      <c r="N177" s="20"/>
      <c r="O177" s="20"/>
      <c r="P177" s="20"/>
      <c r="Q177" s="20"/>
      <c r="R177" s="18"/>
      <c r="S177" s="33"/>
      <c r="T177" s="13"/>
      <c r="U177" s="13"/>
    </row>
    <row r="178" s="2" customFormat="1" ht="18" spans="1:21">
      <c r="A178" s="17">
        <v>169</v>
      </c>
      <c r="B178" s="18" t="s">
        <v>415</v>
      </c>
      <c r="C178" s="18" t="s">
        <v>416</v>
      </c>
      <c r="D178" s="19">
        <v>60</v>
      </c>
      <c r="E178" s="19">
        <v>38</v>
      </c>
      <c r="F178" s="20">
        <v>767.5</v>
      </c>
      <c r="G178" s="20"/>
      <c r="H178" s="20"/>
      <c r="I178" s="20"/>
      <c r="J178" s="20"/>
      <c r="K178" s="20"/>
      <c r="L178" s="20"/>
      <c r="M178" s="20"/>
      <c r="N178" s="20"/>
      <c r="O178" s="20"/>
      <c r="P178" s="20"/>
      <c r="Q178" s="20"/>
      <c r="R178" s="18"/>
      <c r="S178" s="74"/>
      <c r="T178" s="36"/>
      <c r="U178" s="36"/>
    </row>
    <row r="179" ht="18" spans="1:21">
      <c r="A179" s="17">
        <v>170</v>
      </c>
      <c r="B179" s="17" t="s">
        <v>415</v>
      </c>
      <c r="C179" s="18" t="s">
        <v>416</v>
      </c>
      <c r="D179" s="31"/>
      <c r="E179" s="31">
        <v>45</v>
      </c>
      <c r="F179" s="32">
        <v>1840</v>
      </c>
      <c r="G179" s="32"/>
      <c r="H179" s="32"/>
      <c r="I179" s="32"/>
      <c r="J179" s="32"/>
      <c r="K179" s="32"/>
      <c r="L179" s="32"/>
      <c r="M179" s="32"/>
      <c r="N179" s="32"/>
      <c r="O179" s="32"/>
      <c r="P179" s="32"/>
      <c r="Q179" s="32"/>
      <c r="R179" s="17"/>
      <c r="S179" s="65"/>
      <c r="T179" s="13"/>
      <c r="U179" s="13"/>
    </row>
    <row r="180" s="2" customFormat="1" ht="18" spans="1:21">
      <c r="A180" s="17">
        <v>171</v>
      </c>
      <c r="B180" s="18" t="s">
        <v>417</v>
      </c>
      <c r="C180" s="18" t="s">
        <v>418</v>
      </c>
      <c r="D180" s="19">
        <v>409</v>
      </c>
      <c r="E180" s="19">
        <f>2090</f>
        <v>2090</v>
      </c>
      <c r="F180" s="20">
        <f>43064-41-40-1147.8</f>
        <v>41835.2</v>
      </c>
      <c r="G180" s="20"/>
      <c r="H180" s="20"/>
      <c r="I180" s="20"/>
      <c r="J180" s="20"/>
      <c r="K180" s="20"/>
      <c r="L180" s="24">
        <v>179</v>
      </c>
      <c r="M180" s="20"/>
      <c r="N180" s="20"/>
      <c r="O180" s="20"/>
      <c r="P180" s="20"/>
      <c r="Q180" s="20"/>
      <c r="R180" s="18"/>
      <c r="S180" s="33"/>
      <c r="T180" s="66" t="s">
        <v>419</v>
      </c>
      <c r="U180" s="36"/>
    </row>
    <row r="181" spans="1:21">
      <c r="A181" s="17">
        <v>172</v>
      </c>
      <c r="B181" s="18" t="s">
        <v>420</v>
      </c>
      <c r="C181" s="18" t="s">
        <v>421</v>
      </c>
      <c r="D181" s="18">
        <v>220</v>
      </c>
      <c r="E181" s="19">
        <v>248</v>
      </c>
      <c r="F181" s="20">
        <v>6209</v>
      </c>
      <c r="G181" s="20"/>
      <c r="H181" s="20"/>
      <c r="I181" s="20"/>
      <c r="J181" s="20"/>
      <c r="K181" s="20"/>
      <c r="L181" s="20">
        <v>641</v>
      </c>
      <c r="M181" s="20"/>
      <c r="N181" s="20"/>
      <c r="O181" s="20"/>
      <c r="P181" s="20"/>
      <c r="Q181" s="20"/>
      <c r="R181" s="18"/>
      <c r="S181" s="65"/>
      <c r="T181" s="13"/>
      <c r="U181" s="13"/>
    </row>
    <row r="182" ht="18" spans="1:21">
      <c r="A182" s="17">
        <v>173</v>
      </c>
      <c r="B182" s="17" t="s">
        <v>422</v>
      </c>
      <c r="C182" s="17" t="s">
        <v>423</v>
      </c>
      <c r="D182" s="17"/>
      <c r="E182" s="17">
        <v>496</v>
      </c>
      <c r="F182" s="32">
        <v>7198</v>
      </c>
      <c r="G182" s="32">
        <v>7198</v>
      </c>
      <c r="H182" s="32"/>
      <c r="I182" s="32"/>
      <c r="J182" s="32">
        <v>2500</v>
      </c>
      <c r="K182" s="32"/>
      <c r="L182" s="32"/>
      <c r="M182" s="32"/>
      <c r="N182" s="32"/>
      <c r="O182" s="32">
        <v>139</v>
      </c>
      <c r="P182" s="32"/>
      <c r="Q182" s="32">
        <v>26</v>
      </c>
      <c r="R182" s="17">
        <v>7</v>
      </c>
      <c r="S182" s="33"/>
      <c r="T182" s="13"/>
      <c r="U182" s="13"/>
    </row>
    <row r="183" ht="27" spans="1:21">
      <c r="A183" s="17">
        <v>174</v>
      </c>
      <c r="B183" s="18" t="s">
        <v>424</v>
      </c>
      <c r="C183" s="18" t="s">
        <v>425</v>
      </c>
      <c r="D183" s="23"/>
      <c r="E183" s="23">
        <v>2566</v>
      </c>
      <c r="F183" s="20">
        <f>51305-1</f>
        <v>51304</v>
      </c>
      <c r="G183" s="20">
        <f>51305-1</f>
        <v>51304</v>
      </c>
      <c r="H183" s="20"/>
      <c r="I183" s="20"/>
      <c r="J183" s="20">
        <v>14566</v>
      </c>
      <c r="K183" s="20"/>
      <c r="L183" s="20"/>
      <c r="M183" s="20"/>
      <c r="N183" s="20">
        <v>16</v>
      </c>
      <c r="O183" s="20">
        <v>140</v>
      </c>
      <c r="P183" s="20">
        <v>184.2</v>
      </c>
      <c r="Q183" s="20">
        <v>58</v>
      </c>
      <c r="R183" s="23">
        <v>22</v>
      </c>
      <c r="S183" s="20"/>
      <c r="T183" s="13"/>
      <c r="U183" s="13"/>
    </row>
    <row r="184" customFormat="1" ht="18" spans="1:21">
      <c r="A184" s="17">
        <v>175</v>
      </c>
      <c r="B184" s="17" t="s">
        <v>426</v>
      </c>
      <c r="C184" s="18" t="s">
        <v>427</v>
      </c>
      <c r="D184" s="17">
        <v>70</v>
      </c>
      <c r="E184" s="17">
        <v>255</v>
      </c>
      <c r="F184" s="32">
        <f>17494-7</f>
        <v>17487</v>
      </c>
      <c r="G184" s="32">
        <f>17494-7</f>
        <v>17487</v>
      </c>
      <c r="H184" s="32"/>
      <c r="I184" s="32"/>
      <c r="J184" s="32">
        <v>2555</v>
      </c>
      <c r="K184" s="32">
        <v>1803</v>
      </c>
      <c r="L184" s="32"/>
      <c r="M184" s="32"/>
      <c r="N184" s="32">
        <v>16</v>
      </c>
      <c r="O184" s="32"/>
      <c r="P184" s="32">
        <v>71</v>
      </c>
      <c r="Q184" s="32"/>
      <c r="R184" s="24">
        <v>9</v>
      </c>
      <c r="S184" s="32"/>
      <c r="T184" s="35" t="s">
        <v>428</v>
      </c>
      <c r="U184" s="13"/>
    </row>
    <row r="185" customFormat="1" ht="18" spans="1:21">
      <c r="A185" s="17">
        <v>176</v>
      </c>
      <c r="B185" s="18" t="s">
        <v>429</v>
      </c>
      <c r="C185" s="18" t="s">
        <v>430</v>
      </c>
      <c r="D185" s="18">
        <v>445</v>
      </c>
      <c r="E185" s="18">
        <v>678</v>
      </c>
      <c r="F185" s="20">
        <f>26465.1-6-2</f>
        <v>26457.1</v>
      </c>
      <c r="G185" s="20">
        <v>13615.92</v>
      </c>
      <c r="H185" s="20"/>
      <c r="I185" s="20"/>
      <c r="J185" s="20">
        <v>84</v>
      </c>
      <c r="K185" s="20"/>
      <c r="L185" s="20"/>
      <c r="M185" s="20"/>
      <c r="N185" s="20"/>
      <c r="O185" s="20"/>
      <c r="P185" s="20"/>
      <c r="Q185" s="20"/>
      <c r="R185" s="23"/>
      <c r="S185" s="21"/>
      <c r="T185" s="13"/>
      <c r="U185" s="13"/>
    </row>
    <row r="186" customFormat="1" ht="21" customHeight="1" spans="1:21">
      <c r="A186" s="17">
        <v>177</v>
      </c>
      <c r="B186" s="18" t="s">
        <v>431</v>
      </c>
      <c r="C186" s="18" t="s">
        <v>320</v>
      </c>
      <c r="D186" s="18"/>
      <c r="E186" s="18">
        <v>228</v>
      </c>
      <c r="F186" s="20">
        <v>3220.8</v>
      </c>
      <c r="G186" s="20"/>
      <c r="H186" s="20"/>
      <c r="I186" s="20"/>
      <c r="J186" s="20"/>
      <c r="K186" s="20"/>
      <c r="L186" s="20"/>
      <c r="M186" s="20"/>
      <c r="N186" s="20"/>
      <c r="O186" s="20"/>
      <c r="P186" s="20"/>
      <c r="Q186" s="20"/>
      <c r="R186" s="23"/>
      <c r="S186" s="21"/>
      <c r="T186" s="13"/>
      <c r="U186" s="13"/>
    </row>
    <row r="187" s="1" customFormat="1" ht="18" spans="1:21">
      <c r="A187" s="17">
        <v>178</v>
      </c>
      <c r="B187" s="17" t="s">
        <v>432</v>
      </c>
      <c r="C187" s="17" t="s">
        <v>433</v>
      </c>
      <c r="D187" s="17">
        <v>110</v>
      </c>
      <c r="E187" s="17"/>
      <c r="F187" s="32">
        <f>9393-6-12</f>
        <v>9375</v>
      </c>
      <c r="G187" s="32"/>
      <c r="H187" s="32"/>
      <c r="I187" s="32"/>
      <c r="J187" s="32"/>
      <c r="K187" s="32"/>
      <c r="L187" s="32"/>
      <c r="M187" s="32"/>
      <c r="N187" s="32"/>
      <c r="O187" s="32"/>
      <c r="P187" s="32"/>
      <c r="Q187" s="32"/>
      <c r="R187" s="17"/>
      <c r="S187" s="32"/>
      <c r="T187" s="34"/>
      <c r="U187" s="34"/>
    </row>
    <row r="188" spans="1:21">
      <c r="A188" s="17">
        <v>179</v>
      </c>
      <c r="B188" s="17" t="s">
        <v>434</v>
      </c>
      <c r="C188" s="17" t="s">
        <v>435</v>
      </c>
      <c r="D188" s="17">
        <v>95</v>
      </c>
      <c r="E188" s="31"/>
      <c r="F188" s="32">
        <v>95</v>
      </c>
      <c r="G188" s="32"/>
      <c r="H188" s="32"/>
      <c r="I188" s="32"/>
      <c r="J188" s="32"/>
      <c r="K188" s="32"/>
      <c r="L188" s="32"/>
      <c r="M188" s="32"/>
      <c r="N188" s="32"/>
      <c r="O188" s="32"/>
      <c r="P188" s="32"/>
      <c r="Q188" s="32"/>
      <c r="R188" s="17"/>
      <c r="S188" s="33"/>
      <c r="T188" s="13"/>
      <c r="U188" s="13"/>
    </row>
    <row r="189" spans="1:21">
      <c r="A189" s="17">
        <v>180</v>
      </c>
      <c r="B189" s="17" t="s">
        <v>436</v>
      </c>
      <c r="C189" s="17" t="s">
        <v>437</v>
      </c>
      <c r="D189" s="17">
        <v>256</v>
      </c>
      <c r="E189" s="17">
        <v>130</v>
      </c>
      <c r="F189" s="32">
        <v>1890</v>
      </c>
      <c r="G189" s="32"/>
      <c r="H189" s="32"/>
      <c r="I189" s="32"/>
      <c r="J189" s="32"/>
      <c r="K189" s="32"/>
      <c r="L189" s="32">
        <v>793</v>
      </c>
      <c r="M189" s="32"/>
      <c r="N189" s="32"/>
      <c r="O189" s="32"/>
      <c r="P189" s="32"/>
      <c r="Q189" s="32"/>
      <c r="R189" s="17"/>
      <c r="S189" s="33"/>
      <c r="T189" s="13"/>
      <c r="U189" s="13"/>
    </row>
    <row r="190" spans="1:21">
      <c r="A190" s="17">
        <v>181</v>
      </c>
      <c r="B190" s="17" t="s">
        <v>438</v>
      </c>
      <c r="C190" s="17" t="s">
        <v>439</v>
      </c>
      <c r="D190" s="17">
        <v>207</v>
      </c>
      <c r="E190" s="31">
        <v>44</v>
      </c>
      <c r="F190" s="32">
        <v>2362</v>
      </c>
      <c r="G190" s="32"/>
      <c r="H190" s="32"/>
      <c r="I190" s="32"/>
      <c r="J190" s="32"/>
      <c r="K190" s="32"/>
      <c r="L190" s="32">
        <v>1123</v>
      </c>
      <c r="M190" s="32"/>
      <c r="N190" s="32"/>
      <c r="O190" s="32"/>
      <c r="P190" s="32"/>
      <c r="Q190" s="32"/>
      <c r="R190" s="17"/>
      <c r="S190" s="33"/>
      <c r="T190" s="13"/>
      <c r="U190" s="13"/>
    </row>
    <row r="191" spans="1:21">
      <c r="A191" s="17">
        <v>182</v>
      </c>
      <c r="B191" s="17" t="s">
        <v>440</v>
      </c>
      <c r="C191" s="17" t="s">
        <v>441</v>
      </c>
      <c r="D191" s="17">
        <f>76-2-2</f>
        <v>72</v>
      </c>
      <c r="E191" s="17">
        <v>97</v>
      </c>
      <c r="F191" s="32">
        <f>1340-6</f>
        <v>1334</v>
      </c>
      <c r="G191" s="32"/>
      <c r="H191" s="32"/>
      <c r="I191" s="32"/>
      <c r="J191" s="32"/>
      <c r="K191" s="32"/>
      <c r="L191" s="32"/>
      <c r="M191" s="32"/>
      <c r="N191" s="32"/>
      <c r="O191" s="32"/>
      <c r="P191" s="32"/>
      <c r="Q191" s="32"/>
      <c r="R191" s="17"/>
      <c r="S191" s="33"/>
      <c r="T191" s="13"/>
      <c r="U191" s="13"/>
    </row>
    <row r="192" spans="1:21">
      <c r="A192" s="17">
        <v>183</v>
      </c>
      <c r="B192" s="17" t="s">
        <v>442</v>
      </c>
      <c r="C192" s="17" t="s">
        <v>443</v>
      </c>
      <c r="D192" s="17">
        <v>28</v>
      </c>
      <c r="E192" s="31"/>
      <c r="F192" s="32">
        <v>28</v>
      </c>
      <c r="G192" s="32"/>
      <c r="H192" s="32"/>
      <c r="I192" s="32"/>
      <c r="J192" s="32"/>
      <c r="K192" s="32"/>
      <c r="L192" s="32"/>
      <c r="M192" s="32"/>
      <c r="N192" s="32"/>
      <c r="O192" s="32"/>
      <c r="P192" s="32"/>
      <c r="Q192" s="32"/>
      <c r="R192" s="17"/>
      <c r="S192" s="33"/>
      <c r="T192" s="13"/>
      <c r="U192" s="13"/>
    </row>
    <row r="193" ht="20" customHeight="1" spans="1:21">
      <c r="A193" s="17">
        <v>184</v>
      </c>
      <c r="B193" s="26" t="s">
        <v>444</v>
      </c>
      <c r="C193" s="26" t="s">
        <v>445</v>
      </c>
      <c r="D193" s="26"/>
      <c r="E193" s="26"/>
      <c r="F193" s="24">
        <v>3638</v>
      </c>
      <c r="G193" s="24">
        <v>3638</v>
      </c>
      <c r="H193" s="24"/>
      <c r="I193" s="24"/>
      <c r="J193" s="24"/>
      <c r="K193" s="24"/>
      <c r="L193" s="24">
        <v>612</v>
      </c>
      <c r="M193" s="24"/>
      <c r="N193" s="24"/>
      <c r="O193" s="24"/>
      <c r="P193" s="24"/>
      <c r="Q193" s="24"/>
      <c r="R193" s="26"/>
      <c r="S193" s="28"/>
      <c r="T193" s="13"/>
      <c r="U193" s="13"/>
    </row>
    <row r="194" spans="1:21">
      <c r="A194" s="17">
        <v>185</v>
      </c>
      <c r="B194" s="17" t="s">
        <v>252</v>
      </c>
      <c r="C194" s="17" t="s">
        <v>446</v>
      </c>
      <c r="D194" s="17">
        <v>443</v>
      </c>
      <c r="E194" s="31">
        <v>2149</v>
      </c>
      <c r="F194" s="32">
        <f>31591.48-6.12-1-5-1-158.84</f>
        <v>31419.52</v>
      </c>
      <c r="G194" s="32">
        <v>14598</v>
      </c>
      <c r="H194" s="32">
        <v>540</v>
      </c>
      <c r="I194" s="32"/>
      <c r="J194" s="32">
        <v>3143.55</v>
      </c>
      <c r="K194" s="32"/>
      <c r="L194" s="32">
        <v>3361</v>
      </c>
      <c r="M194" s="32">
        <v>946</v>
      </c>
      <c r="N194" s="32">
        <v>16</v>
      </c>
      <c r="O194" s="32"/>
      <c r="P194" s="32">
        <v>80</v>
      </c>
      <c r="Q194" s="32">
        <v>70.1</v>
      </c>
      <c r="R194" s="17">
        <v>5</v>
      </c>
      <c r="S194" s="33"/>
      <c r="T194" s="13"/>
      <c r="U194" s="13"/>
    </row>
    <row r="195" s="3" customFormat="1" spans="1:21">
      <c r="A195" s="48" t="s">
        <v>447</v>
      </c>
      <c r="B195" s="49"/>
      <c r="C195" s="50"/>
      <c r="D195" s="58">
        <f>SUM(D163:D194)</f>
        <v>4515</v>
      </c>
      <c r="E195" s="58">
        <f t="shared" ref="E195:S195" si="6">SUM(E163:E194)</f>
        <v>12905</v>
      </c>
      <c r="F195" s="59">
        <f t="shared" si="6"/>
        <v>338082.84</v>
      </c>
      <c r="G195" s="59">
        <f t="shared" si="6"/>
        <v>168901.92</v>
      </c>
      <c r="H195" s="59">
        <f t="shared" si="6"/>
        <v>875</v>
      </c>
      <c r="I195" s="59">
        <f t="shared" si="6"/>
        <v>0</v>
      </c>
      <c r="J195" s="59">
        <f t="shared" si="6"/>
        <v>23968.55</v>
      </c>
      <c r="K195" s="59">
        <f t="shared" si="6"/>
        <v>1803</v>
      </c>
      <c r="L195" s="59">
        <f t="shared" si="6"/>
        <v>10807.5</v>
      </c>
      <c r="M195" s="59">
        <f t="shared" si="6"/>
        <v>946</v>
      </c>
      <c r="N195" s="59">
        <f t="shared" si="6"/>
        <v>48</v>
      </c>
      <c r="O195" s="59">
        <f t="shared" si="6"/>
        <v>279</v>
      </c>
      <c r="P195" s="59">
        <f t="shared" si="6"/>
        <v>335.2</v>
      </c>
      <c r="Q195" s="59">
        <f t="shared" si="6"/>
        <v>162.1</v>
      </c>
      <c r="R195" s="58">
        <f t="shared" si="6"/>
        <v>43</v>
      </c>
      <c r="S195" s="59">
        <f t="shared" si="6"/>
        <v>0</v>
      </c>
      <c r="T195" s="42"/>
      <c r="U195" s="42"/>
    </row>
    <row r="196" s="2" customFormat="1" spans="1:21">
      <c r="A196" s="17">
        <v>186</v>
      </c>
      <c r="B196" s="26" t="s">
        <v>448</v>
      </c>
      <c r="C196" s="26" t="s">
        <v>449</v>
      </c>
      <c r="D196" s="26">
        <v>79</v>
      </c>
      <c r="E196" s="26">
        <v>32</v>
      </c>
      <c r="F196" s="24">
        <v>7033.8</v>
      </c>
      <c r="G196" s="24">
        <v>5120</v>
      </c>
      <c r="H196" s="24"/>
      <c r="I196" s="24"/>
      <c r="J196" s="24"/>
      <c r="K196" s="24"/>
      <c r="L196" s="24">
        <v>540</v>
      </c>
      <c r="M196" s="24"/>
      <c r="N196" s="24"/>
      <c r="O196" s="24"/>
      <c r="P196" s="24"/>
      <c r="Q196" s="24"/>
      <c r="R196" s="26"/>
      <c r="S196" s="28"/>
      <c r="T196" s="36"/>
      <c r="U196" s="36"/>
    </row>
    <row r="197" s="2" customFormat="1" spans="1:21">
      <c r="A197" s="17">
        <v>187</v>
      </c>
      <c r="B197" s="26" t="s">
        <v>450</v>
      </c>
      <c r="C197" s="26" t="s">
        <v>451</v>
      </c>
      <c r="D197" s="26">
        <v>237</v>
      </c>
      <c r="E197" s="26">
        <v>1039</v>
      </c>
      <c r="F197" s="24">
        <v>38515.8</v>
      </c>
      <c r="G197" s="24">
        <v>6865.1</v>
      </c>
      <c r="H197" s="24">
        <v>710.5</v>
      </c>
      <c r="I197" s="24">
        <v>2268</v>
      </c>
      <c r="J197" s="24"/>
      <c r="K197" s="24"/>
      <c r="L197" s="24">
        <v>197.4</v>
      </c>
      <c r="M197" s="24"/>
      <c r="N197" s="24"/>
      <c r="O197" s="24"/>
      <c r="P197" s="24"/>
      <c r="Q197" s="24"/>
      <c r="R197" s="26"/>
      <c r="S197" s="28"/>
      <c r="T197" s="60"/>
      <c r="U197" s="36"/>
    </row>
    <row r="198" s="2" customFormat="1" ht="18" spans="1:21">
      <c r="A198" s="17">
        <v>188</v>
      </c>
      <c r="B198" s="75" t="s">
        <v>452</v>
      </c>
      <c r="C198" s="75" t="s">
        <v>453</v>
      </c>
      <c r="D198" s="26"/>
      <c r="E198" s="26">
        <v>4712</v>
      </c>
      <c r="F198" s="24">
        <v>125950</v>
      </c>
      <c r="G198" s="24">
        <v>125950</v>
      </c>
      <c r="H198" s="24"/>
      <c r="I198" s="24"/>
      <c r="J198" s="24">
        <v>6709</v>
      </c>
      <c r="K198" s="24"/>
      <c r="L198" s="24"/>
      <c r="M198" s="24"/>
      <c r="N198" s="24"/>
      <c r="O198" s="24"/>
      <c r="P198" s="24"/>
      <c r="Q198" s="24">
        <v>36</v>
      </c>
      <c r="R198" s="26">
        <v>14</v>
      </c>
      <c r="S198" s="24"/>
      <c r="T198" s="35" t="s">
        <v>454</v>
      </c>
      <c r="U198" s="36"/>
    </row>
    <row r="199" s="2" customFormat="1" ht="18" spans="1:21">
      <c r="A199" s="17">
        <v>189</v>
      </c>
      <c r="B199" s="26" t="s">
        <v>455</v>
      </c>
      <c r="C199" s="26" t="s">
        <v>325</v>
      </c>
      <c r="D199" s="26">
        <v>74</v>
      </c>
      <c r="E199" s="26"/>
      <c r="F199" s="24">
        <v>423.94</v>
      </c>
      <c r="G199" s="24"/>
      <c r="H199" s="24"/>
      <c r="I199" s="24"/>
      <c r="J199" s="24"/>
      <c r="K199" s="24"/>
      <c r="L199" s="24">
        <v>224</v>
      </c>
      <c r="M199" s="24"/>
      <c r="N199" s="24"/>
      <c r="O199" s="24"/>
      <c r="P199" s="24"/>
      <c r="Q199" s="24"/>
      <c r="R199" s="26"/>
      <c r="S199" s="28"/>
      <c r="T199" s="36"/>
      <c r="U199" s="36"/>
    </row>
    <row r="200" s="1" customFormat="1" ht="18" spans="1:21">
      <c r="A200" s="17">
        <v>190</v>
      </c>
      <c r="B200" s="26" t="s">
        <v>456</v>
      </c>
      <c r="C200" s="26" t="s">
        <v>457</v>
      </c>
      <c r="D200" s="26">
        <v>142</v>
      </c>
      <c r="E200" s="26"/>
      <c r="F200" s="24">
        <v>440.82</v>
      </c>
      <c r="G200" s="24"/>
      <c r="H200" s="24"/>
      <c r="I200" s="24"/>
      <c r="J200" s="24"/>
      <c r="K200" s="24"/>
      <c r="L200" s="24">
        <v>386</v>
      </c>
      <c r="M200" s="24"/>
      <c r="N200" s="24"/>
      <c r="O200" s="24"/>
      <c r="P200" s="24"/>
      <c r="Q200" s="24"/>
      <c r="R200" s="26"/>
      <c r="S200" s="28"/>
      <c r="T200" s="34"/>
      <c r="U200" s="34"/>
    </row>
    <row r="201" s="1" customFormat="1" ht="18" spans="1:21">
      <c r="A201" s="17">
        <v>191</v>
      </c>
      <c r="B201" s="26" t="s">
        <v>458</v>
      </c>
      <c r="C201" s="26" t="s">
        <v>325</v>
      </c>
      <c r="D201" s="26">
        <v>139</v>
      </c>
      <c r="E201" s="26"/>
      <c r="F201" s="24">
        <v>1173</v>
      </c>
      <c r="G201" s="24"/>
      <c r="H201" s="24"/>
      <c r="I201" s="24"/>
      <c r="J201" s="24"/>
      <c r="K201" s="24"/>
      <c r="L201" s="24">
        <v>704</v>
      </c>
      <c r="M201" s="24"/>
      <c r="N201" s="24"/>
      <c r="O201" s="24"/>
      <c r="P201" s="24"/>
      <c r="Q201" s="24"/>
      <c r="R201" s="26"/>
      <c r="S201" s="28"/>
      <c r="T201" s="34"/>
      <c r="U201" s="34"/>
    </row>
    <row r="202" s="1" customFormat="1" spans="1:21">
      <c r="A202" s="17">
        <v>192</v>
      </c>
      <c r="B202" s="17" t="s">
        <v>458</v>
      </c>
      <c r="C202" s="17" t="s">
        <v>459</v>
      </c>
      <c r="D202" s="17">
        <v>241</v>
      </c>
      <c r="E202" s="17"/>
      <c r="F202" s="32">
        <v>241</v>
      </c>
      <c r="G202" s="76"/>
      <c r="H202" s="76"/>
      <c r="I202" s="76"/>
      <c r="J202" s="76"/>
      <c r="K202" s="76"/>
      <c r="L202" s="76"/>
      <c r="M202" s="76"/>
      <c r="N202" s="76"/>
      <c r="O202" s="76"/>
      <c r="P202" s="76"/>
      <c r="Q202" s="76"/>
      <c r="R202" s="17"/>
      <c r="S202" s="32"/>
      <c r="T202" s="34"/>
      <c r="U202" s="34"/>
    </row>
    <row r="203" s="1" customFormat="1" spans="1:21">
      <c r="A203" s="17">
        <v>193</v>
      </c>
      <c r="B203" s="17" t="s">
        <v>460</v>
      </c>
      <c r="C203" s="17" t="s">
        <v>461</v>
      </c>
      <c r="D203" s="17">
        <v>69</v>
      </c>
      <c r="E203" s="17"/>
      <c r="F203" s="32">
        <v>69</v>
      </c>
      <c r="G203" s="76"/>
      <c r="H203" s="76"/>
      <c r="I203" s="76"/>
      <c r="J203" s="76"/>
      <c r="K203" s="76"/>
      <c r="L203" s="76"/>
      <c r="M203" s="76"/>
      <c r="N203" s="76"/>
      <c r="O203" s="76"/>
      <c r="P203" s="76"/>
      <c r="Q203" s="76"/>
      <c r="R203" s="17"/>
      <c r="S203" s="32"/>
      <c r="T203" s="34"/>
      <c r="U203" s="34"/>
    </row>
    <row r="204" s="1" customFormat="1" spans="1:21">
      <c r="A204" s="17">
        <v>194</v>
      </c>
      <c r="B204" s="17" t="s">
        <v>462</v>
      </c>
      <c r="C204" s="17" t="s">
        <v>463</v>
      </c>
      <c r="D204" s="17">
        <f>109-1</f>
        <v>108</v>
      </c>
      <c r="E204" s="17">
        <f>979</f>
        <v>979</v>
      </c>
      <c r="F204" s="32">
        <f>25134.45-2-14-17.5-52</f>
        <v>25048.95</v>
      </c>
      <c r="G204" s="32"/>
      <c r="H204" s="32"/>
      <c r="I204" s="32"/>
      <c r="J204" s="32"/>
      <c r="K204" s="32"/>
      <c r="L204" s="32"/>
      <c r="M204" s="32"/>
      <c r="N204" s="32"/>
      <c r="O204" s="32"/>
      <c r="P204" s="32"/>
      <c r="Q204" s="32"/>
      <c r="R204" s="64"/>
      <c r="S204" s="33"/>
      <c r="T204" s="34"/>
      <c r="U204" s="34"/>
    </row>
    <row r="205" s="1" customFormat="1" spans="1:21">
      <c r="A205" s="17">
        <v>195</v>
      </c>
      <c r="B205" s="17" t="s">
        <v>429</v>
      </c>
      <c r="C205" s="17" t="s">
        <v>464</v>
      </c>
      <c r="D205" s="17">
        <v>448</v>
      </c>
      <c r="E205" s="17">
        <v>2200</v>
      </c>
      <c r="F205" s="32">
        <f>24328-15</f>
        <v>24313</v>
      </c>
      <c r="G205" s="32">
        <v>3000</v>
      </c>
      <c r="H205" s="32"/>
      <c r="I205" s="32"/>
      <c r="J205" s="32">
        <v>276</v>
      </c>
      <c r="K205" s="32"/>
      <c r="L205" s="32">
        <v>150</v>
      </c>
      <c r="M205" s="32"/>
      <c r="N205" s="32"/>
      <c r="O205" s="32"/>
      <c r="P205" s="32"/>
      <c r="Q205" s="32"/>
      <c r="R205" s="17"/>
      <c r="S205" s="32"/>
      <c r="T205" s="34"/>
      <c r="U205" s="34"/>
    </row>
    <row r="206" s="1" customFormat="1" spans="1:21">
      <c r="A206" s="17">
        <v>196</v>
      </c>
      <c r="B206" s="26" t="s">
        <v>465</v>
      </c>
      <c r="C206" s="26" t="s">
        <v>466</v>
      </c>
      <c r="D206" s="26">
        <v>59</v>
      </c>
      <c r="E206" s="26"/>
      <c r="F206" s="24">
        <v>198</v>
      </c>
      <c r="G206" s="24"/>
      <c r="H206" s="24"/>
      <c r="I206" s="24"/>
      <c r="J206" s="24"/>
      <c r="K206" s="24"/>
      <c r="L206" s="24"/>
      <c r="M206" s="24"/>
      <c r="N206" s="24"/>
      <c r="O206" s="24"/>
      <c r="P206" s="24"/>
      <c r="Q206" s="24"/>
      <c r="R206" s="26"/>
      <c r="S206" s="28"/>
      <c r="T206" s="34"/>
      <c r="U206" s="34"/>
    </row>
    <row r="207" s="1" customFormat="1" spans="1:21">
      <c r="A207" s="17">
        <v>197</v>
      </c>
      <c r="B207" s="17" t="s">
        <v>467</v>
      </c>
      <c r="C207" s="17" t="s">
        <v>468</v>
      </c>
      <c r="D207" s="17">
        <v>109</v>
      </c>
      <c r="E207" s="17">
        <v>5</v>
      </c>
      <c r="F207" s="32">
        <v>507.6</v>
      </c>
      <c r="G207" s="32"/>
      <c r="H207" s="32"/>
      <c r="I207" s="32"/>
      <c r="J207" s="32"/>
      <c r="K207" s="32"/>
      <c r="L207" s="32"/>
      <c r="M207" s="32"/>
      <c r="N207" s="32"/>
      <c r="O207" s="32"/>
      <c r="P207" s="32"/>
      <c r="Q207" s="32"/>
      <c r="R207" s="17"/>
      <c r="S207" s="32"/>
      <c r="T207" s="34"/>
      <c r="U207" s="34"/>
    </row>
    <row r="208" s="1" customFormat="1" spans="1:21">
      <c r="A208" s="17">
        <v>198</v>
      </c>
      <c r="B208" s="17" t="s">
        <v>469</v>
      </c>
      <c r="C208" s="17" t="s">
        <v>468</v>
      </c>
      <c r="D208" s="17">
        <v>100</v>
      </c>
      <c r="E208" s="17">
        <f>95</f>
        <v>95</v>
      </c>
      <c r="F208" s="32">
        <f>2562-60-13</f>
        <v>2489</v>
      </c>
      <c r="G208" s="32"/>
      <c r="H208" s="32"/>
      <c r="I208" s="32"/>
      <c r="J208" s="32"/>
      <c r="K208" s="32"/>
      <c r="L208" s="32"/>
      <c r="M208" s="32"/>
      <c r="N208" s="32"/>
      <c r="O208" s="32"/>
      <c r="P208" s="32"/>
      <c r="Q208" s="32"/>
      <c r="R208" s="17"/>
      <c r="S208" s="32"/>
      <c r="T208" s="34"/>
      <c r="U208" s="34"/>
    </row>
    <row r="209" s="1" customFormat="1" spans="1:21">
      <c r="A209" s="17">
        <v>199</v>
      </c>
      <c r="B209" s="26" t="s">
        <v>470</v>
      </c>
      <c r="C209" s="26" t="s">
        <v>471</v>
      </c>
      <c r="D209" s="26">
        <v>69</v>
      </c>
      <c r="E209" s="26"/>
      <c r="F209" s="24">
        <v>245</v>
      </c>
      <c r="G209" s="24"/>
      <c r="H209" s="24"/>
      <c r="I209" s="24"/>
      <c r="J209" s="24"/>
      <c r="K209" s="24"/>
      <c r="L209" s="24">
        <v>170</v>
      </c>
      <c r="M209" s="24"/>
      <c r="N209" s="24"/>
      <c r="O209" s="24"/>
      <c r="P209" s="24"/>
      <c r="Q209" s="24"/>
      <c r="R209" s="26"/>
      <c r="S209" s="24"/>
      <c r="T209" s="34"/>
      <c r="U209" s="34"/>
    </row>
    <row r="210" s="1" customFormat="1" ht="18" spans="1:21">
      <c r="A210" s="17">
        <v>200</v>
      </c>
      <c r="B210" s="26" t="s">
        <v>472</v>
      </c>
      <c r="C210" s="26" t="s">
        <v>473</v>
      </c>
      <c r="D210" s="26">
        <v>149</v>
      </c>
      <c r="E210" s="26"/>
      <c r="F210" s="24">
        <v>223.5</v>
      </c>
      <c r="G210" s="24"/>
      <c r="H210" s="24"/>
      <c r="I210" s="24"/>
      <c r="J210" s="24"/>
      <c r="K210" s="24"/>
      <c r="L210" s="24"/>
      <c r="M210" s="24"/>
      <c r="N210" s="24"/>
      <c r="O210" s="24"/>
      <c r="P210" s="24"/>
      <c r="Q210" s="24"/>
      <c r="R210" s="26"/>
      <c r="S210" s="24"/>
      <c r="T210" s="34"/>
      <c r="U210" s="34"/>
    </row>
    <row r="211" s="2" customFormat="1" ht="18" spans="1:21">
      <c r="A211" s="17">
        <v>201</v>
      </c>
      <c r="B211" s="17" t="s">
        <v>338</v>
      </c>
      <c r="C211" s="17" t="s">
        <v>474</v>
      </c>
      <c r="D211" s="17"/>
      <c r="E211" s="17">
        <f>11999-66</f>
        <v>11933</v>
      </c>
      <c r="F211" s="32">
        <f>132300-1505-63-7-3318.27-4500-3318.27</f>
        <v>119588.46</v>
      </c>
      <c r="G211" s="32"/>
      <c r="H211" s="32"/>
      <c r="I211" s="32"/>
      <c r="J211" s="32"/>
      <c r="K211" s="32"/>
      <c r="L211" s="32"/>
      <c r="M211" s="32"/>
      <c r="N211" s="32"/>
      <c r="O211" s="32"/>
      <c r="P211" s="32"/>
      <c r="Q211" s="32"/>
      <c r="R211" s="17"/>
      <c r="S211" s="32"/>
      <c r="T211" s="36"/>
      <c r="U211" s="36"/>
    </row>
    <row r="212" s="3" customFormat="1" spans="1:21">
      <c r="A212" s="48" t="s">
        <v>475</v>
      </c>
      <c r="B212" s="49"/>
      <c r="C212" s="50"/>
      <c r="D212" s="77">
        <f>SUM(D196:D211)</f>
        <v>2023</v>
      </c>
      <c r="E212" s="77">
        <f t="shared" ref="E212:S212" si="7">SUM(E196:E211)</f>
        <v>20995</v>
      </c>
      <c r="F212" s="41">
        <f t="shared" si="7"/>
        <v>346460.87</v>
      </c>
      <c r="G212" s="41">
        <f t="shared" si="7"/>
        <v>140935.1</v>
      </c>
      <c r="H212" s="41">
        <f t="shared" si="7"/>
        <v>710.5</v>
      </c>
      <c r="I212" s="41">
        <f t="shared" si="7"/>
        <v>2268</v>
      </c>
      <c r="J212" s="41">
        <f t="shared" si="7"/>
        <v>6985</v>
      </c>
      <c r="K212" s="41">
        <f t="shared" si="7"/>
        <v>0</v>
      </c>
      <c r="L212" s="41">
        <f t="shared" si="7"/>
        <v>2371.4</v>
      </c>
      <c r="M212" s="41">
        <f t="shared" si="7"/>
        <v>0</v>
      </c>
      <c r="N212" s="41">
        <f t="shared" si="7"/>
        <v>0</v>
      </c>
      <c r="O212" s="41">
        <f t="shared" si="7"/>
        <v>0</v>
      </c>
      <c r="P212" s="41">
        <f t="shared" si="7"/>
        <v>0</v>
      </c>
      <c r="Q212" s="41">
        <f t="shared" si="7"/>
        <v>36</v>
      </c>
      <c r="R212" s="77">
        <f t="shared" si="7"/>
        <v>14</v>
      </c>
      <c r="S212" s="41">
        <f t="shared" si="7"/>
        <v>0</v>
      </c>
      <c r="T212" s="42"/>
      <c r="U212" s="42"/>
    </row>
    <row r="213" spans="1:21">
      <c r="A213" s="17">
        <v>202</v>
      </c>
      <c r="B213" s="17" t="s">
        <v>476</v>
      </c>
      <c r="C213" s="18" t="s">
        <v>477</v>
      </c>
      <c r="D213" s="17">
        <v>24</v>
      </c>
      <c r="E213" s="17"/>
      <c r="F213" s="32">
        <v>24</v>
      </c>
      <c r="G213" s="32"/>
      <c r="H213" s="32"/>
      <c r="I213" s="32"/>
      <c r="J213" s="32"/>
      <c r="K213" s="32"/>
      <c r="L213" s="32"/>
      <c r="M213" s="32"/>
      <c r="N213" s="32"/>
      <c r="O213" s="32"/>
      <c r="P213" s="32"/>
      <c r="Q213" s="32"/>
      <c r="R213" s="17"/>
      <c r="S213" s="32"/>
      <c r="T213" s="13"/>
      <c r="U213" s="13"/>
    </row>
    <row r="214" spans="1:21">
      <c r="A214" s="17">
        <v>203</v>
      </c>
      <c r="B214" s="17" t="s">
        <v>478</v>
      </c>
      <c r="C214" s="18" t="s">
        <v>479</v>
      </c>
      <c r="D214" s="17">
        <v>128</v>
      </c>
      <c r="E214" s="17"/>
      <c r="F214" s="32">
        <v>128</v>
      </c>
      <c r="G214" s="32"/>
      <c r="H214" s="32"/>
      <c r="I214" s="32"/>
      <c r="J214" s="32"/>
      <c r="K214" s="32"/>
      <c r="L214" s="32"/>
      <c r="M214" s="32"/>
      <c r="N214" s="32"/>
      <c r="O214" s="32"/>
      <c r="P214" s="32"/>
      <c r="Q214" s="32"/>
      <c r="R214" s="17"/>
      <c r="S214" s="32"/>
      <c r="T214" s="13"/>
      <c r="U214" s="13"/>
    </row>
    <row r="215" ht="18" spans="1:21">
      <c r="A215" s="17">
        <v>204</v>
      </c>
      <c r="B215" s="17" t="s">
        <v>480</v>
      </c>
      <c r="C215" s="18" t="s">
        <v>481</v>
      </c>
      <c r="D215" s="17">
        <v>85</v>
      </c>
      <c r="E215" s="17"/>
      <c r="F215" s="32">
        <v>85</v>
      </c>
      <c r="G215" s="32"/>
      <c r="H215" s="32"/>
      <c r="I215" s="32"/>
      <c r="J215" s="32"/>
      <c r="K215" s="32"/>
      <c r="L215" s="32"/>
      <c r="M215" s="32"/>
      <c r="N215" s="32"/>
      <c r="O215" s="32"/>
      <c r="P215" s="32"/>
      <c r="Q215" s="32"/>
      <c r="R215" s="17"/>
      <c r="S215" s="32"/>
      <c r="T215" s="13"/>
      <c r="U215" s="13"/>
    </row>
    <row r="216" spans="1:21">
      <c r="A216" s="17">
        <v>205</v>
      </c>
      <c r="B216" s="17" t="s">
        <v>482</v>
      </c>
      <c r="C216" s="18" t="s">
        <v>483</v>
      </c>
      <c r="D216" s="17">
        <v>54</v>
      </c>
      <c r="E216" s="17"/>
      <c r="F216" s="32">
        <v>54</v>
      </c>
      <c r="G216" s="32"/>
      <c r="H216" s="32"/>
      <c r="I216" s="32"/>
      <c r="J216" s="32"/>
      <c r="K216" s="32"/>
      <c r="L216" s="32"/>
      <c r="M216" s="32"/>
      <c r="N216" s="32"/>
      <c r="O216" s="32"/>
      <c r="P216" s="32"/>
      <c r="Q216" s="32"/>
      <c r="R216" s="17"/>
      <c r="S216" s="32"/>
      <c r="T216" s="13"/>
      <c r="U216" s="13"/>
    </row>
    <row r="217" ht="18" spans="1:21">
      <c r="A217" s="17">
        <v>206</v>
      </c>
      <c r="B217" s="17" t="s">
        <v>484</v>
      </c>
      <c r="C217" s="18" t="s">
        <v>485</v>
      </c>
      <c r="D217" s="17">
        <v>29</v>
      </c>
      <c r="E217" s="17"/>
      <c r="F217" s="32">
        <v>29</v>
      </c>
      <c r="G217" s="32"/>
      <c r="H217" s="32"/>
      <c r="I217" s="32"/>
      <c r="J217" s="32"/>
      <c r="K217" s="32"/>
      <c r="L217" s="32"/>
      <c r="M217" s="32"/>
      <c r="N217" s="32"/>
      <c r="O217" s="32"/>
      <c r="P217" s="32"/>
      <c r="Q217" s="32"/>
      <c r="R217" s="17"/>
      <c r="S217" s="32"/>
      <c r="T217" s="13"/>
      <c r="U217" s="13"/>
    </row>
    <row r="218" spans="1:21">
      <c r="A218" s="17">
        <v>207</v>
      </c>
      <c r="B218" s="17" t="s">
        <v>486</v>
      </c>
      <c r="C218" s="18" t="s">
        <v>487</v>
      </c>
      <c r="D218" s="17">
        <v>194</v>
      </c>
      <c r="E218" s="17"/>
      <c r="F218" s="32">
        <v>194</v>
      </c>
      <c r="G218" s="32"/>
      <c r="H218" s="32"/>
      <c r="I218" s="32"/>
      <c r="J218" s="32"/>
      <c r="K218" s="32"/>
      <c r="L218" s="32"/>
      <c r="M218" s="32"/>
      <c r="N218" s="32"/>
      <c r="O218" s="32"/>
      <c r="P218" s="32"/>
      <c r="Q218" s="32"/>
      <c r="R218" s="17"/>
      <c r="S218" s="32"/>
      <c r="T218" s="13"/>
      <c r="U218" s="13"/>
    </row>
    <row r="219" s="5" customFormat="1" spans="1:21">
      <c r="A219" s="17">
        <v>208</v>
      </c>
      <c r="B219" s="17" t="s">
        <v>488</v>
      </c>
      <c r="C219" s="18" t="s">
        <v>489</v>
      </c>
      <c r="D219" s="26">
        <v>116</v>
      </c>
      <c r="E219" s="26"/>
      <c r="F219" s="24">
        <v>116</v>
      </c>
      <c r="G219" s="32"/>
      <c r="H219" s="32"/>
      <c r="I219" s="32"/>
      <c r="J219" s="32"/>
      <c r="K219" s="32"/>
      <c r="L219" s="32"/>
      <c r="M219" s="32"/>
      <c r="N219" s="32"/>
      <c r="O219" s="32"/>
      <c r="P219" s="32"/>
      <c r="Q219" s="32"/>
      <c r="R219" s="17"/>
      <c r="S219" s="32"/>
      <c r="T219" s="78"/>
      <c r="U219" s="78"/>
    </row>
    <row r="220" s="5" customFormat="1" spans="1:21">
      <c r="A220" s="17">
        <v>209</v>
      </c>
      <c r="B220" s="17" t="s">
        <v>490</v>
      </c>
      <c r="C220" s="17" t="s">
        <v>491</v>
      </c>
      <c r="D220" s="17">
        <v>97</v>
      </c>
      <c r="E220" s="17"/>
      <c r="F220" s="24">
        <v>97</v>
      </c>
      <c r="G220" s="32"/>
      <c r="H220" s="32"/>
      <c r="I220" s="32"/>
      <c r="J220" s="32"/>
      <c r="K220" s="32"/>
      <c r="L220" s="32"/>
      <c r="M220" s="32"/>
      <c r="N220" s="32"/>
      <c r="O220" s="32"/>
      <c r="P220" s="32"/>
      <c r="Q220" s="32"/>
      <c r="R220" s="17"/>
      <c r="S220" s="32"/>
      <c r="T220" s="35" t="s">
        <v>402</v>
      </c>
      <c r="U220" s="78"/>
    </row>
    <row r="221" s="2" customFormat="1" spans="1:21">
      <c r="A221" s="17">
        <v>210</v>
      </c>
      <c r="B221" s="18" t="s">
        <v>492</v>
      </c>
      <c r="C221" s="18" t="s">
        <v>489</v>
      </c>
      <c r="D221" s="18">
        <v>176</v>
      </c>
      <c r="E221" s="18">
        <v>167</v>
      </c>
      <c r="F221" s="20">
        <v>6502.7</v>
      </c>
      <c r="G221" s="20"/>
      <c r="H221" s="20"/>
      <c r="I221" s="20"/>
      <c r="J221" s="20"/>
      <c r="K221" s="20"/>
      <c r="L221" s="20"/>
      <c r="M221" s="20"/>
      <c r="N221" s="20"/>
      <c r="O221" s="20"/>
      <c r="P221" s="20"/>
      <c r="Q221" s="20"/>
      <c r="R221" s="23"/>
      <c r="S221" s="21"/>
      <c r="T221" s="36"/>
      <c r="U221" s="36"/>
    </row>
    <row r="222" s="2" customFormat="1" spans="1:21">
      <c r="A222" s="17">
        <v>211</v>
      </c>
      <c r="B222" s="17" t="s">
        <v>492</v>
      </c>
      <c r="C222" s="17" t="s">
        <v>493</v>
      </c>
      <c r="D222" s="17">
        <v>517</v>
      </c>
      <c r="E222" s="17"/>
      <c r="F222" s="32">
        <v>517</v>
      </c>
      <c r="G222" s="32"/>
      <c r="H222" s="32"/>
      <c r="I222" s="32"/>
      <c r="J222" s="32"/>
      <c r="K222" s="32"/>
      <c r="L222" s="32"/>
      <c r="M222" s="32"/>
      <c r="N222" s="32"/>
      <c r="O222" s="32"/>
      <c r="P222" s="32"/>
      <c r="Q222" s="32"/>
      <c r="R222" s="17"/>
      <c r="S222" s="32"/>
      <c r="T222" s="36"/>
      <c r="U222" s="36"/>
    </row>
    <row r="223" spans="1:21">
      <c r="A223" s="17">
        <v>212</v>
      </c>
      <c r="B223" s="17" t="s">
        <v>494</v>
      </c>
      <c r="C223" s="18" t="s">
        <v>495</v>
      </c>
      <c r="D223" s="17">
        <v>149</v>
      </c>
      <c r="E223" s="17"/>
      <c r="F223" s="32">
        <v>149</v>
      </c>
      <c r="G223" s="32"/>
      <c r="H223" s="32"/>
      <c r="I223" s="32"/>
      <c r="J223" s="32"/>
      <c r="K223" s="32"/>
      <c r="L223" s="32"/>
      <c r="M223" s="32"/>
      <c r="N223" s="32"/>
      <c r="O223" s="32"/>
      <c r="P223" s="32"/>
      <c r="Q223" s="32"/>
      <c r="R223" s="17"/>
      <c r="S223" s="32"/>
      <c r="T223" s="13"/>
      <c r="U223" s="13"/>
    </row>
    <row r="224" s="1" customFormat="1" ht="28" customHeight="1" spans="1:21">
      <c r="A224" s="17">
        <v>213</v>
      </c>
      <c r="B224" s="17" t="s">
        <v>496</v>
      </c>
      <c r="C224" s="18" t="s">
        <v>497</v>
      </c>
      <c r="D224" s="17">
        <v>68</v>
      </c>
      <c r="E224" s="17"/>
      <c r="F224" s="32">
        <v>68</v>
      </c>
      <c r="G224" s="32"/>
      <c r="H224" s="32"/>
      <c r="I224" s="32"/>
      <c r="J224" s="32"/>
      <c r="K224" s="32"/>
      <c r="L224" s="32"/>
      <c r="M224" s="32"/>
      <c r="N224" s="32"/>
      <c r="O224" s="32"/>
      <c r="P224" s="32"/>
      <c r="Q224" s="32"/>
      <c r="R224" s="17"/>
      <c r="S224" s="32"/>
      <c r="T224" s="34"/>
      <c r="U224" s="34"/>
    </row>
    <row r="225" ht="31" customHeight="1" spans="1:21">
      <c r="A225" s="17">
        <v>214</v>
      </c>
      <c r="B225" s="75" t="s">
        <v>498</v>
      </c>
      <c r="C225" s="75" t="s">
        <v>499</v>
      </c>
      <c r="D225" s="79"/>
      <c r="E225" s="79">
        <v>5861</v>
      </c>
      <c r="F225" s="80">
        <v>177554</v>
      </c>
      <c r="G225" s="80">
        <v>177554</v>
      </c>
      <c r="H225" s="80"/>
      <c r="I225" s="80"/>
      <c r="J225" s="80">
        <v>12091</v>
      </c>
      <c r="K225" s="80"/>
      <c r="L225" s="80">
        <v>87</v>
      </c>
      <c r="M225" s="80"/>
      <c r="N225" s="80"/>
      <c r="O225" s="80"/>
      <c r="P225" s="80"/>
      <c r="Q225" s="80">
        <v>45</v>
      </c>
      <c r="R225" s="79">
        <v>25</v>
      </c>
      <c r="S225" s="80"/>
      <c r="T225" s="35" t="s">
        <v>500</v>
      </c>
      <c r="U225" s="13"/>
    </row>
    <row r="226" spans="1:21">
      <c r="A226" s="17">
        <v>215</v>
      </c>
      <c r="B226" s="17" t="s">
        <v>324</v>
      </c>
      <c r="C226" s="18" t="s">
        <v>501</v>
      </c>
      <c r="D226" s="17">
        <v>113</v>
      </c>
      <c r="E226" s="17"/>
      <c r="F226" s="32">
        <v>113</v>
      </c>
      <c r="G226" s="32"/>
      <c r="H226" s="32"/>
      <c r="I226" s="32"/>
      <c r="J226" s="32"/>
      <c r="K226" s="32"/>
      <c r="L226" s="32"/>
      <c r="M226" s="32"/>
      <c r="N226" s="32"/>
      <c r="O226" s="63"/>
      <c r="P226" s="63"/>
      <c r="Q226" s="63"/>
      <c r="R226" s="61"/>
      <c r="S226" s="32"/>
      <c r="T226" s="35"/>
      <c r="U226" s="13"/>
    </row>
    <row r="227" spans="1:21">
      <c r="A227" s="17">
        <v>216</v>
      </c>
      <c r="B227" s="17" t="s">
        <v>324</v>
      </c>
      <c r="C227" s="17" t="s">
        <v>502</v>
      </c>
      <c r="D227" s="17">
        <v>100</v>
      </c>
      <c r="E227" s="17"/>
      <c r="F227" s="24">
        <v>100</v>
      </c>
      <c r="G227" s="32"/>
      <c r="H227" s="32"/>
      <c r="I227" s="32"/>
      <c r="J227" s="32"/>
      <c r="K227" s="32"/>
      <c r="L227" s="32"/>
      <c r="M227" s="32"/>
      <c r="N227" s="32"/>
      <c r="O227" s="63"/>
      <c r="P227" s="63"/>
      <c r="Q227" s="63"/>
      <c r="R227" s="61"/>
      <c r="S227" s="32"/>
      <c r="T227" s="35" t="s">
        <v>402</v>
      </c>
      <c r="U227" s="13"/>
    </row>
    <row r="228" customFormat="1" ht="18" spans="1:21">
      <c r="A228" s="17">
        <v>217</v>
      </c>
      <c r="B228" s="17" t="s">
        <v>503</v>
      </c>
      <c r="C228" s="18" t="s">
        <v>504</v>
      </c>
      <c r="D228" s="17">
        <v>319</v>
      </c>
      <c r="E228" s="17"/>
      <c r="F228" s="32">
        <v>319</v>
      </c>
      <c r="G228" s="32"/>
      <c r="H228" s="32"/>
      <c r="I228" s="32"/>
      <c r="J228" s="32"/>
      <c r="K228" s="32"/>
      <c r="L228" s="32"/>
      <c r="M228" s="32"/>
      <c r="N228" s="32"/>
      <c r="O228" s="32"/>
      <c r="P228" s="32"/>
      <c r="Q228" s="32"/>
      <c r="R228" s="17"/>
      <c r="S228" s="32"/>
      <c r="T228" s="13"/>
      <c r="U228" s="13"/>
    </row>
    <row r="229" ht="54" spans="1:21">
      <c r="A229" s="17">
        <v>218</v>
      </c>
      <c r="B229" s="26" t="s">
        <v>505</v>
      </c>
      <c r="C229" s="26" t="s">
        <v>506</v>
      </c>
      <c r="D229" s="26"/>
      <c r="E229" s="26">
        <v>502</v>
      </c>
      <c r="F229" s="24">
        <v>13781</v>
      </c>
      <c r="G229" s="24">
        <v>13781</v>
      </c>
      <c r="H229" s="24"/>
      <c r="I229" s="24"/>
      <c r="J229" s="24">
        <v>1081</v>
      </c>
      <c r="K229" s="24"/>
      <c r="L229" s="24"/>
      <c r="M229" s="24"/>
      <c r="N229" s="24">
        <v>72</v>
      </c>
      <c r="O229" s="24"/>
      <c r="P229" s="24"/>
      <c r="Q229" s="24"/>
      <c r="R229" s="26">
        <v>12</v>
      </c>
      <c r="S229" s="28"/>
      <c r="T229" s="35" t="s">
        <v>507</v>
      </c>
      <c r="U229" s="13"/>
    </row>
    <row r="230" ht="36" spans="1:21">
      <c r="A230" s="17">
        <v>219</v>
      </c>
      <c r="B230" s="18" t="s">
        <v>508</v>
      </c>
      <c r="C230" s="18" t="s">
        <v>509</v>
      </c>
      <c r="D230" s="18"/>
      <c r="E230" s="18">
        <v>1142</v>
      </c>
      <c r="F230" s="20">
        <v>31960</v>
      </c>
      <c r="G230" s="20">
        <v>31960</v>
      </c>
      <c r="H230" s="20"/>
      <c r="I230" s="20"/>
      <c r="J230" s="20">
        <v>954</v>
      </c>
      <c r="K230" s="20">
        <v>8768</v>
      </c>
      <c r="L230" s="20">
        <v>466.5</v>
      </c>
      <c r="M230" s="20"/>
      <c r="N230" s="20"/>
      <c r="O230" s="20">
        <v>25.33</v>
      </c>
      <c r="P230" s="20">
        <v>161.3</v>
      </c>
      <c r="Q230" s="20">
        <v>60.3</v>
      </c>
      <c r="R230" s="18">
        <v>10</v>
      </c>
      <c r="S230" s="21"/>
      <c r="T230" s="13"/>
      <c r="U230" s="13"/>
    </row>
    <row r="231" ht="27" spans="1:21">
      <c r="A231" s="17">
        <v>220</v>
      </c>
      <c r="B231" s="17" t="s">
        <v>510</v>
      </c>
      <c r="C231" s="18" t="s">
        <v>511</v>
      </c>
      <c r="D231" s="17"/>
      <c r="E231" s="17">
        <v>2028</v>
      </c>
      <c r="F231" s="32">
        <f>51593-12-5</f>
        <v>51576</v>
      </c>
      <c r="G231" s="32">
        <f>51593-12-5</f>
        <v>51576</v>
      </c>
      <c r="H231" s="32"/>
      <c r="I231" s="32"/>
      <c r="J231" s="32">
        <v>7756</v>
      </c>
      <c r="K231" s="32">
        <v>45394</v>
      </c>
      <c r="L231" s="32"/>
      <c r="M231" s="32"/>
      <c r="N231" s="32">
        <v>16</v>
      </c>
      <c r="O231" s="32">
        <v>70</v>
      </c>
      <c r="P231" s="32">
        <v>225</v>
      </c>
      <c r="Q231" s="32">
        <v>50</v>
      </c>
      <c r="R231" s="17">
        <v>24</v>
      </c>
      <c r="S231" s="32">
        <v>104743</v>
      </c>
      <c r="T231" s="13"/>
      <c r="U231" s="13"/>
    </row>
    <row r="232" customFormat="1" spans="1:21">
      <c r="A232" s="17">
        <v>221</v>
      </c>
      <c r="B232" s="17" t="s">
        <v>512</v>
      </c>
      <c r="C232" s="17" t="s">
        <v>513</v>
      </c>
      <c r="D232" s="17">
        <f>592-1</f>
        <v>591</v>
      </c>
      <c r="E232" s="17">
        <v>956</v>
      </c>
      <c r="F232" s="32">
        <f>8595-5-3</f>
        <v>8587</v>
      </c>
      <c r="G232" s="32"/>
      <c r="H232" s="32"/>
      <c r="I232" s="32"/>
      <c r="J232" s="32"/>
      <c r="K232" s="32"/>
      <c r="L232" s="32"/>
      <c r="M232" s="32"/>
      <c r="N232" s="32"/>
      <c r="O232" s="32"/>
      <c r="P232" s="32"/>
      <c r="Q232" s="32"/>
      <c r="R232" s="17"/>
      <c r="S232" s="32"/>
      <c r="T232" s="13"/>
      <c r="U232" s="13"/>
    </row>
    <row r="233" ht="18" spans="1:21">
      <c r="A233" s="17">
        <v>222</v>
      </c>
      <c r="B233" s="17" t="s">
        <v>514</v>
      </c>
      <c r="C233" s="18" t="s">
        <v>515</v>
      </c>
      <c r="D233" s="17">
        <f>617+89-1-2</f>
        <v>703</v>
      </c>
      <c r="E233" s="17">
        <f>377</f>
        <v>377</v>
      </c>
      <c r="F233" s="32">
        <f>5395.08+1131-45-13.5</f>
        <v>6467.58</v>
      </c>
      <c r="G233" s="32">
        <v>0</v>
      </c>
      <c r="H233" s="32"/>
      <c r="I233" s="32"/>
      <c r="J233" s="32">
        <v>0</v>
      </c>
      <c r="K233" s="32">
        <v>0</v>
      </c>
      <c r="L233" s="32">
        <v>488</v>
      </c>
      <c r="M233" s="32"/>
      <c r="N233" s="32"/>
      <c r="O233" s="32"/>
      <c r="P233" s="32"/>
      <c r="Q233" s="32"/>
      <c r="R233" s="17"/>
      <c r="S233" s="32"/>
      <c r="T233" s="13"/>
      <c r="U233" s="13"/>
    </row>
    <row r="234" ht="18" spans="1:21">
      <c r="A234" s="17">
        <v>223</v>
      </c>
      <c r="B234" s="26" t="s">
        <v>516</v>
      </c>
      <c r="C234" s="26" t="s">
        <v>501</v>
      </c>
      <c r="D234" s="26"/>
      <c r="E234" s="26">
        <v>184</v>
      </c>
      <c r="F234" s="24">
        <v>5402</v>
      </c>
      <c r="G234" s="24">
        <v>5402</v>
      </c>
      <c r="H234" s="24"/>
      <c r="I234" s="24"/>
      <c r="J234" s="24"/>
      <c r="K234" s="24"/>
      <c r="L234" s="24">
        <f>36+106.6</f>
        <v>142.6</v>
      </c>
      <c r="M234" s="24"/>
      <c r="N234" s="24"/>
      <c r="O234" s="24"/>
      <c r="P234" s="24"/>
      <c r="Q234" s="24"/>
      <c r="R234" s="26"/>
      <c r="S234" s="28"/>
      <c r="T234" s="35" t="s">
        <v>517</v>
      </c>
      <c r="U234" s="13"/>
    </row>
    <row r="235" s="3" customFormat="1" spans="1:21">
      <c r="A235" s="81" t="s">
        <v>518</v>
      </c>
      <c r="B235" s="82"/>
      <c r="C235" s="83"/>
      <c r="D235" s="84">
        <f>SUM(D213:D234)</f>
        <v>3463</v>
      </c>
      <c r="E235" s="84">
        <f t="shared" ref="E235:S235" si="8">SUM(E213:E234)</f>
        <v>11217</v>
      </c>
      <c r="F235" s="85">
        <f t="shared" si="8"/>
        <v>303823.28</v>
      </c>
      <c r="G235" s="85">
        <f t="shared" si="8"/>
        <v>280273</v>
      </c>
      <c r="H235" s="85">
        <f t="shared" si="8"/>
        <v>0</v>
      </c>
      <c r="I235" s="85">
        <f t="shared" si="8"/>
        <v>0</v>
      </c>
      <c r="J235" s="85">
        <f t="shared" si="8"/>
        <v>21882</v>
      </c>
      <c r="K235" s="85">
        <f t="shared" si="8"/>
        <v>54162</v>
      </c>
      <c r="L235" s="85">
        <f t="shared" si="8"/>
        <v>1184.1</v>
      </c>
      <c r="M235" s="85">
        <f t="shared" si="8"/>
        <v>0</v>
      </c>
      <c r="N235" s="85">
        <f t="shared" si="8"/>
        <v>88</v>
      </c>
      <c r="O235" s="85">
        <f t="shared" si="8"/>
        <v>95.33</v>
      </c>
      <c r="P235" s="85">
        <f t="shared" si="8"/>
        <v>386.3</v>
      </c>
      <c r="Q235" s="85">
        <f t="shared" si="8"/>
        <v>155.3</v>
      </c>
      <c r="R235" s="84">
        <f t="shared" si="8"/>
        <v>71</v>
      </c>
      <c r="S235" s="85">
        <f t="shared" si="8"/>
        <v>104743</v>
      </c>
      <c r="T235" s="42"/>
      <c r="U235" s="42"/>
    </row>
    <row r="236" s="1" customFormat="1" ht="16.9" customHeight="1" spans="1:21">
      <c r="A236" s="31">
        <v>224</v>
      </c>
      <c r="B236" s="17" t="s">
        <v>252</v>
      </c>
      <c r="C236" s="17" t="s">
        <v>519</v>
      </c>
      <c r="D236" s="17">
        <v>464</v>
      </c>
      <c r="E236" s="17">
        <f>1374</f>
        <v>1374</v>
      </c>
      <c r="F236" s="32">
        <f>21534-5-2-2.4-480</f>
        <v>21044.6</v>
      </c>
      <c r="G236" s="32"/>
      <c r="H236" s="32">
        <v>292</v>
      </c>
      <c r="I236" s="32"/>
      <c r="J236" s="32">
        <v>255</v>
      </c>
      <c r="K236" s="32">
        <v>16000</v>
      </c>
      <c r="L236" s="32"/>
      <c r="M236" s="32"/>
      <c r="N236" s="32">
        <v>48</v>
      </c>
      <c r="O236" s="32"/>
      <c r="P236" s="32"/>
      <c r="Q236" s="32">
        <v>54</v>
      </c>
      <c r="R236" s="17"/>
      <c r="S236" s="32"/>
      <c r="T236" s="34"/>
      <c r="U236" s="34"/>
    </row>
    <row r="237" s="1" customFormat="1" spans="1:21">
      <c r="A237" s="31">
        <v>225</v>
      </c>
      <c r="B237" s="17" t="s">
        <v>520</v>
      </c>
      <c r="C237" s="17" t="s">
        <v>521</v>
      </c>
      <c r="D237" s="17"/>
      <c r="E237" s="17">
        <v>2061</v>
      </c>
      <c r="F237" s="32">
        <v>57000</v>
      </c>
      <c r="G237" s="32"/>
      <c r="H237" s="32"/>
      <c r="I237" s="32"/>
      <c r="J237" s="32"/>
      <c r="K237" s="32"/>
      <c r="L237" s="32">
        <v>40</v>
      </c>
      <c r="M237" s="32"/>
      <c r="N237" s="32"/>
      <c r="O237" s="32"/>
      <c r="P237" s="32"/>
      <c r="Q237" s="32"/>
      <c r="R237" s="17"/>
      <c r="S237" s="32"/>
      <c r="T237" s="34"/>
      <c r="U237" s="34"/>
    </row>
    <row r="238" s="1" customFormat="1" ht="18" spans="1:21">
      <c r="A238" s="31">
        <v>226</v>
      </c>
      <c r="B238" s="17" t="s">
        <v>522</v>
      </c>
      <c r="C238" s="17" t="s">
        <v>523</v>
      </c>
      <c r="D238" s="17"/>
      <c r="E238" s="17">
        <v>467</v>
      </c>
      <c r="F238" s="32">
        <v>14400</v>
      </c>
      <c r="G238" s="32">
        <v>14400</v>
      </c>
      <c r="H238" s="76"/>
      <c r="I238" s="76"/>
      <c r="J238" s="76"/>
      <c r="K238" s="76"/>
      <c r="L238" s="76"/>
      <c r="M238" s="32"/>
      <c r="N238" s="32"/>
      <c r="O238" s="32"/>
      <c r="P238" s="32"/>
      <c r="Q238" s="32"/>
      <c r="R238" s="17"/>
      <c r="S238" s="32"/>
      <c r="T238" s="34"/>
      <c r="U238" s="34"/>
    </row>
    <row r="239" s="1" customFormat="1" spans="1:21">
      <c r="A239" s="31">
        <v>227</v>
      </c>
      <c r="B239" s="26" t="s">
        <v>524</v>
      </c>
      <c r="C239" s="26" t="s">
        <v>525</v>
      </c>
      <c r="D239" s="26">
        <v>75</v>
      </c>
      <c r="E239" s="26"/>
      <c r="F239" s="24">
        <v>365.4</v>
      </c>
      <c r="G239" s="24"/>
      <c r="H239" s="24"/>
      <c r="I239" s="24"/>
      <c r="J239" s="24"/>
      <c r="K239" s="24"/>
      <c r="L239" s="24">
        <v>389.4</v>
      </c>
      <c r="M239" s="32"/>
      <c r="N239" s="32"/>
      <c r="O239" s="32"/>
      <c r="P239" s="32"/>
      <c r="Q239" s="32"/>
      <c r="R239" s="17"/>
      <c r="S239" s="32"/>
      <c r="T239" s="34"/>
      <c r="U239" s="34"/>
    </row>
    <row r="240" s="2" customFormat="1" spans="1:21">
      <c r="A240" s="31">
        <v>228</v>
      </c>
      <c r="B240" s="17" t="s">
        <v>526</v>
      </c>
      <c r="C240" s="17" t="s">
        <v>527</v>
      </c>
      <c r="D240" s="17"/>
      <c r="E240" s="17">
        <f>231+66</f>
        <v>297</v>
      </c>
      <c r="F240" s="32">
        <f>2125-36+4500-2904.96</f>
        <v>3684.04</v>
      </c>
      <c r="G240" s="32"/>
      <c r="H240" s="32"/>
      <c r="I240" s="32"/>
      <c r="J240" s="32"/>
      <c r="K240" s="32"/>
      <c r="L240" s="32"/>
      <c r="M240" s="32"/>
      <c r="N240" s="32"/>
      <c r="O240" s="32"/>
      <c r="P240" s="32"/>
      <c r="Q240" s="32"/>
      <c r="R240" s="17"/>
      <c r="S240" s="32"/>
      <c r="T240" s="36"/>
      <c r="U240" s="36"/>
    </row>
    <row r="241" s="1" customFormat="1" spans="1:21">
      <c r="A241" s="31">
        <v>229</v>
      </c>
      <c r="B241" s="17" t="s">
        <v>528</v>
      </c>
      <c r="C241" s="17" t="s">
        <v>529</v>
      </c>
      <c r="D241" s="17">
        <v>118</v>
      </c>
      <c r="E241" s="17"/>
      <c r="F241" s="32">
        <v>1197</v>
      </c>
      <c r="G241" s="32"/>
      <c r="H241" s="76"/>
      <c r="I241" s="76"/>
      <c r="J241" s="76"/>
      <c r="K241" s="76"/>
      <c r="L241" s="76"/>
      <c r="M241" s="76"/>
      <c r="N241" s="76"/>
      <c r="O241" s="76"/>
      <c r="P241" s="76"/>
      <c r="Q241" s="76"/>
      <c r="R241" s="86"/>
      <c r="S241" s="32"/>
      <c r="T241" s="34"/>
      <c r="U241" s="34"/>
    </row>
    <row r="242" s="1" customFormat="1" ht="18" spans="1:21">
      <c r="A242" s="31">
        <v>230</v>
      </c>
      <c r="B242" s="17" t="s">
        <v>530</v>
      </c>
      <c r="C242" s="17" t="s">
        <v>531</v>
      </c>
      <c r="D242" s="17"/>
      <c r="E242" s="17">
        <v>374</v>
      </c>
      <c r="F242" s="32">
        <f>6642-19</f>
        <v>6623</v>
      </c>
      <c r="G242" s="32">
        <v>6642</v>
      </c>
      <c r="H242" s="32"/>
      <c r="I242" s="32"/>
      <c r="J242" s="32">
        <v>2338</v>
      </c>
      <c r="K242" s="32"/>
      <c r="L242" s="32"/>
      <c r="M242" s="32"/>
      <c r="N242" s="32">
        <v>16</v>
      </c>
      <c r="O242" s="32">
        <v>45</v>
      </c>
      <c r="P242" s="32"/>
      <c r="Q242" s="32">
        <v>10</v>
      </c>
      <c r="R242" s="17">
        <v>4</v>
      </c>
      <c r="S242" s="32"/>
      <c r="T242" s="34"/>
      <c r="U242" s="34"/>
    </row>
    <row r="243" s="1" customFormat="1" spans="1:21">
      <c r="A243" s="31">
        <v>231</v>
      </c>
      <c r="B243" s="17" t="s">
        <v>532</v>
      </c>
      <c r="C243" s="17" t="s">
        <v>533</v>
      </c>
      <c r="D243" s="17">
        <v>225</v>
      </c>
      <c r="E243" s="17">
        <v>296</v>
      </c>
      <c r="F243" s="32">
        <v>5116</v>
      </c>
      <c r="G243" s="32"/>
      <c r="H243" s="32"/>
      <c r="I243" s="32"/>
      <c r="J243" s="32"/>
      <c r="K243" s="32"/>
      <c r="L243" s="32">
        <v>1157</v>
      </c>
      <c r="M243" s="32"/>
      <c r="N243" s="32"/>
      <c r="O243" s="32"/>
      <c r="P243" s="32"/>
      <c r="Q243" s="32"/>
      <c r="R243" s="17"/>
      <c r="S243" s="32"/>
      <c r="T243" s="34"/>
      <c r="U243" s="34"/>
    </row>
    <row r="244" s="2" customFormat="1" ht="18" spans="1:21">
      <c r="A244" s="31">
        <v>232</v>
      </c>
      <c r="B244" s="17" t="s">
        <v>534</v>
      </c>
      <c r="C244" s="17" t="s">
        <v>535</v>
      </c>
      <c r="D244" s="17">
        <v>267</v>
      </c>
      <c r="E244" s="17">
        <v>0</v>
      </c>
      <c r="F244" s="32">
        <v>6087.27</v>
      </c>
      <c r="G244" s="32">
        <v>5640</v>
      </c>
      <c r="H244" s="76"/>
      <c r="I244" s="76"/>
      <c r="J244" s="76"/>
      <c r="K244" s="76"/>
      <c r="L244" s="76"/>
      <c r="M244" s="76"/>
      <c r="N244" s="76"/>
      <c r="O244" s="76"/>
      <c r="P244" s="76"/>
      <c r="Q244" s="76"/>
      <c r="R244" s="86"/>
      <c r="S244" s="32"/>
      <c r="T244" s="36"/>
      <c r="U244" s="36"/>
    </row>
    <row r="245" s="2" customFormat="1" spans="1:21">
      <c r="A245" s="31">
        <v>233</v>
      </c>
      <c r="B245" s="26" t="s">
        <v>536</v>
      </c>
      <c r="C245" s="26" t="s">
        <v>537</v>
      </c>
      <c r="D245" s="26">
        <v>191</v>
      </c>
      <c r="E245" s="26">
        <v>162</v>
      </c>
      <c r="F245" s="24">
        <v>8644.5</v>
      </c>
      <c r="G245" s="24">
        <v>5396</v>
      </c>
      <c r="H245" s="24"/>
      <c r="I245" s="24"/>
      <c r="J245" s="24"/>
      <c r="K245" s="24"/>
      <c r="L245" s="24"/>
      <c r="M245" s="24"/>
      <c r="N245" s="24"/>
      <c r="O245" s="24"/>
      <c r="P245" s="24"/>
      <c r="Q245" s="24"/>
      <c r="R245" s="26"/>
      <c r="S245" s="28"/>
      <c r="T245" s="36"/>
      <c r="U245" s="36"/>
    </row>
    <row r="246" s="1" customFormat="1" ht="18" spans="1:21">
      <c r="A246" s="31">
        <v>234</v>
      </c>
      <c r="B246" s="26" t="s">
        <v>538</v>
      </c>
      <c r="C246" s="26" t="s">
        <v>539</v>
      </c>
      <c r="D246" s="26">
        <v>21</v>
      </c>
      <c r="E246" s="26"/>
      <c r="F246" s="24">
        <v>21</v>
      </c>
      <c r="G246" s="24"/>
      <c r="H246" s="24"/>
      <c r="I246" s="24"/>
      <c r="J246" s="24"/>
      <c r="K246" s="24"/>
      <c r="L246" s="24"/>
      <c r="M246" s="24"/>
      <c r="N246" s="24"/>
      <c r="O246" s="24"/>
      <c r="P246" s="24"/>
      <c r="Q246" s="24"/>
      <c r="R246" s="26"/>
      <c r="S246" s="28"/>
      <c r="T246" s="34"/>
      <c r="U246" s="34"/>
    </row>
    <row r="247" s="1" customFormat="1" spans="1:21">
      <c r="A247" s="31">
        <v>235</v>
      </c>
      <c r="B247" s="17" t="s">
        <v>540</v>
      </c>
      <c r="C247" s="17" t="s">
        <v>533</v>
      </c>
      <c r="D247" s="17">
        <v>198</v>
      </c>
      <c r="E247" s="17">
        <v>431</v>
      </c>
      <c r="F247" s="32">
        <v>12330</v>
      </c>
      <c r="G247" s="32"/>
      <c r="H247" s="32"/>
      <c r="I247" s="32"/>
      <c r="J247" s="32"/>
      <c r="K247" s="32"/>
      <c r="L247" s="32"/>
      <c r="M247" s="32"/>
      <c r="N247" s="32"/>
      <c r="O247" s="32"/>
      <c r="P247" s="32"/>
      <c r="Q247" s="32"/>
      <c r="R247" s="17"/>
      <c r="S247" s="32"/>
      <c r="T247" s="34"/>
      <c r="U247" s="34"/>
    </row>
    <row r="248" s="2" customFormat="1" ht="18" spans="1:21">
      <c r="A248" s="31">
        <v>236</v>
      </c>
      <c r="B248" s="17" t="s">
        <v>541</v>
      </c>
      <c r="C248" s="17" t="s">
        <v>542</v>
      </c>
      <c r="D248" s="17"/>
      <c r="E248" s="17">
        <v>175</v>
      </c>
      <c r="F248" s="32">
        <v>4687</v>
      </c>
      <c r="G248" s="32"/>
      <c r="H248" s="32"/>
      <c r="I248" s="32"/>
      <c r="J248" s="32">
        <v>1334.4</v>
      </c>
      <c r="K248" s="32"/>
      <c r="L248" s="32"/>
      <c r="M248" s="32"/>
      <c r="N248" s="32"/>
      <c r="O248" s="32"/>
      <c r="P248" s="32"/>
      <c r="Q248" s="32">
        <v>22.4</v>
      </c>
      <c r="R248" s="17">
        <v>2</v>
      </c>
      <c r="S248" s="32"/>
      <c r="T248" s="36"/>
      <c r="U248" s="36"/>
    </row>
    <row r="249" s="2" customFormat="1" spans="1:21">
      <c r="A249" s="31">
        <v>237</v>
      </c>
      <c r="B249" s="17" t="s">
        <v>182</v>
      </c>
      <c r="C249" s="17" t="s">
        <v>543</v>
      </c>
      <c r="D249" s="17">
        <f>1092-1</f>
        <v>1091</v>
      </c>
      <c r="E249" s="17">
        <f>8376</f>
        <v>8376</v>
      </c>
      <c r="F249" s="32">
        <f>133812.8-9-15-150-9-38.4</f>
        <v>133591.4</v>
      </c>
      <c r="G249" s="32"/>
      <c r="H249" s="32"/>
      <c r="I249" s="32"/>
      <c r="J249" s="32">
        <v>3675.2</v>
      </c>
      <c r="K249" s="32"/>
      <c r="L249" s="32"/>
      <c r="M249" s="32"/>
      <c r="N249" s="32">
        <v>225.4</v>
      </c>
      <c r="O249" s="32"/>
      <c r="P249" s="32"/>
      <c r="Q249" s="32"/>
      <c r="R249" s="64"/>
      <c r="S249" s="33"/>
      <c r="T249" s="36"/>
      <c r="U249" s="36"/>
    </row>
    <row r="250" ht="18" spans="1:21">
      <c r="A250" s="31">
        <v>238</v>
      </c>
      <c r="B250" s="17" t="s">
        <v>544</v>
      </c>
      <c r="C250" s="17" t="s">
        <v>545</v>
      </c>
      <c r="D250" s="31"/>
      <c r="E250" s="31">
        <v>129</v>
      </c>
      <c r="F250" s="32">
        <v>5900</v>
      </c>
      <c r="G250" s="32">
        <v>5900</v>
      </c>
      <c r="H250" s="32"/>
      <c r="I250" s="32"/>
      <c r="J250" s="32">
        <v>6600</v>
      </c>
      <c r="K250" s="32"/>
      <c r="L250" s="32"/>
      <c r="M250" s="32"/>
      <c r="N250" s="32"/>
      <c r="O250" s="32">
        <v>500</v>
      </c>
      <c r="P250" s="32"/>
      <c r="Q250" s="32">
        <v>88</v>
      </c>
      <c r="R250" s="26">
        <v>18</v>
      </c>
      <c r="S250" s="33"/>
      <c r="T250" s="66" t="s">
        <v>546</v>
      </c>
      <c r="U250" s="13"/>
    </row>
    <row r="251" s="2" customFormat="1" ht="18" spans="1:21">
      <c r="A251" s="31">
        <v>239</v>
      </c>
      <c r="B251" s="17" t="s">
        <v>547</v>
      </c>
      <c r="C251" s="17" t="s">
        <v>548</v>
      </c>
      <c r="D251" s="17"/>
      <c r="E251" s="31">
        <f>5720</f>
        <v>5720</v>
      </c>
      <c r="F251" s="32">
        <f>58432-29-257.59</f>
        <v>58145.41</v>
      </c>
      <c r="G251" s="32">
        <f>43674-257.59</f>
        <v>43416.41</v>
      </c>
      <c r="H251" s="32"/>
      <c r="I251" s="32"/>
      <c r="J251" s="32">
        <v>1512</v>
      </c>
      <c r="K251" s="32">
        <v>25000</v>
      </c>
      <c r="L251" s="24">
        <f>2359.2+389</f>
        <v>2748.2</v>
      </c>
      <c r="M251" s="32"/>
      <c r="N251" s="32"/>
      <c r="O251" s="32"/>
      <c r="P251" s="32"/>
      <c r="Q251" s="32"/>
      <c r="R251" s="17">
        <v>10</v>
      </c>
      <c r="S251" s="65"/>
      <c r="T251" s="66" t="s">
        <v>549</v>
      </c>
      <c r="U251" s="36"/>
    </row>
    <row r="252" s="2" customFormat="1" ht="18" spans="1:21">
      <c r="A252" s="31">
        <v>240</v>
      </c>
      <c r="B252" s="26" t="s">
        <v>550</v>
      </c>
      <c r="C252" s="87" t="s">
        <v>551</v>
      </c>
      <c r="D252" s="26">
        <v>6</v>
      </c>
      <c r="E252" s="26"/>
      <c r="F252" s="24">
        <v>6</v>
      </c>
      <c r="G252" s="24"/>
      <c r="H252" s="24"/>
      <c r="I252" s="24"/>
      <c r="J252" s="24"/>
      <c r="K252" s="24"/>
      <c r="L252" s="24"/>
      <c r="M252" s="24"/>
      <c r="N252" s="24"/>
      <c r="O252" s="24"/>
      <c r="P252" s="24"/>
      <c r="Q252" s="24"/>
      <c r="R252" s="26"/>
      <c r="S252" s="28"/>
      <c r="T252" s="60"/>
      <c r="U252" s="36"/>
    </row>
    <row r="253" s="3" customFormat="1" spans="1:21">
      <c r="A253" s="48" t="s">
        <v>552</v>
      </c>
      <c r="B253" s="49"/>
      <c r="C253" s="50"/>
      <c r="D253" s="40">
        <f>SUM(D236:D252)</f>
        <v>2656</v>
      </c>
      <c r="E253" s="40">
        <f t="shared" ref="E253:S253" si="9">SUM(E236:E252)</f>
        <v>19862</v>
      </c>
      <c r="F253" s="41">
        <f t="shared" si="9"/>
        <v>338842.62</v>
      </c>
      <c r="G253" s="41">
        <f t="shared" si="9"/>
        <v>81394.41</v>
      </c>
      <c r="H253" s="41">
        <f t="shared" si="9"/>
        <v>292</v>
      </c>
      <c r="I253" s="41">
        <f t="shared" si="9"/>
        <v>0</v>
      </c>
      <c r="J253" s="41">
        <f t="shared" si="9"/>
        <v>15714.6</v>
      </c>
      <c r="K253" s="41">
        <f t="shared" si="9"/>
        <v>41000</v>
      </c>
      <c r="L253" s="41">
        <f t="shared" si="9"/>
        <v>4334.6</v>
      </c>
      <c r="M253" s="41">
        <f t="shared" si="9"/>
        <v>0</v>
      </c>
      <c r="N253" s="41">
        <f t="shared" si="9"/>
        <v>289.4</v>
      </c>
      <c r="O253" s="41">
        <f t="shared" si="9"/>
        <v>545</v>
      </c>
      <c r="P253" s="41">
        <f t="shared" si="9"/>
        <v>0</v>
      </c>
      <c r="Q253" s="41">
        <f t="shared" si="9"/>
        <v>174.4</v>
      </c>
      <c r="R253" s="40">
        <f t="shared" si="9"/>
        <v>34</v>
      </c>
      <c r="S253" s="41">
        <f t="shared" si="9"/>
        <v>0</v>
      </c>
      <c r="T253" s="42"/>
      <c r="U253" s="42"/>
    </row>
    <row r="254" spans="1:21">
      <c r="A254" s="88" t="s">
        <v>27</v>
      </c>
      <c r="B254" s="89"/>
      <c r="C254" s="90"/>
      <c r="D254" s="91">
        <f>D195+D235+D135+D162+D116+D212+D253+D52+D91+D73</f>
        <v>47392</v>
      </c>
      <c r="E254" s="91">
        <f t="shared" ref="E254:S254" si="10">E195+E235+E135+E162+E116+E212+E253+E52+E91+E73</f>
        <v>167465</v>
      </c>
      <c r="F254" s="54">
        <f t="shared" si="10"/>
        <v>3522370.545</v>
      </c>
      <c r="G254" s="54">
        <f t="shared" si="10"/>
        <v>1761659.7</v>
      </c>
      <c r="H254" s="54">
        <f t="shared" si="10"/>
        <v>4862.1</v>
      </c>
      <c r="I254" s="54">
        <f t="shared" si="10"/>
        <v>7366.2</v>
      </c>
      <c r="J254" s="54">
        <f t="shared" si="10"/>
        <v>182092.78</v>
      </c>
      <c r="K254" s="54">
        <f t="shared" si="10"/>
        <v>163932</v>
      </c>
      <c r="L254" s="54">
        <f t="shared" si="10"/>
        <v>80584.85</v>
      </c>
      <c r="M254" s="54">
        <f t="shared" si="10"/>
        <v>4062</v>
      </c>
      <c r="N254" s="54">
        <f t="shared" si="10"/>
        <v>978.4</v>
      </c>
      <c r="O254" s="54">
        <f t="shared" si="10"/>
        <v>1903.33</v>
      </c>
      <c r="P254" s="54">
        <f t="shared" si="10"/>
        <v>3597.94</v>
      </c>
      <c r="Q254" s="54">
        <f t="shared" si="10"/>
        <v>1548.8</v>
      </c>
      <c r="R254" s="91">
        <f t="shared" si="10"/>
        <v>336</v>
      </c>
      <c r="S254" s="54">
        <f t="shared" si="10"/>
        <v>241217.3</v>
      </c>
      <c r="T254" s="13"/>
      <c r="U254" s="13"/>
    </row>
    <row r="2446" spans="8775:8775">
      <c r="LYM2446">
        <v>0</v>
      </c>
    </row>
  </sheetData>
  <mergeCells count="17">
    <mergeCell ref="A1:S1"/>
    <mergeCell ref="F2:G2"/>
    <mergeCell ref="L2:M2"/>
    <mergeCell ref="A52:C52"/>
    <mergeCell ref="A73:C73"/>
    <mergeCell ref="A91:C91"/>
    <mergeCell ref="A116:C116"/>
    <mergeCell ref="A135:C135"/>
    <mergeCell ref="A162:C162"/>
    <mergeCell ref="A195:C195"/>
    <mergeCell ref="A212:C212"/>
    <mergeCell ref="A235:C235"/>
    <mergeCell ref="A253:C253"/>
    <mergeCell ref="A254:C254"/>
    <mergeCell ref="A2:A3"/>
    <mergeCell ref="B2:B3"/>
    <mergeCell ref="C2:C3"/>
  </mergeCells>
  <pageMargins left="0.31496062992126" right="0.31496062992126" top="0.354330708661417" bottom="0.354330708661417" header="0.31496062992126" footer="0.31496062992126"/>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标段划分及最高限价</vt:lpstr>
      <vt:lpstr>各标段工作量清单汇总表</vt:lpstr>
      <vt:lpstr>单项最高限价</vt:lpstr>
      <vt:lpstr>各标段工作量清单明细表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139----2699</cp:lastModifiedBy>
  <dcterms:created xsi:type="dcterms:W3CDTF">2018-02-27T11:14:00Z</dcterms:created>
  <cp:lastPrinted>2023-07-24T01:26:00Z</cp:lastPrinted>
  <dcterms:modified xsi:type="dcterms:W3CDTF">2026-06-04T07:30:29Z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2052-12.1.0.26375</vt:lpwstr>
  </property>
  <property fmtid="{D5CDD505-2E9C-101B-9397-08002B2CF9AE}" pid="3" name="ICV">
    <vt:lpwstr>4BAE55367ED141F0ADC67E96F57A11C4_13</vt:lpwstr>
  </property>
  <property fmtid="{D5CDD505-2E9C-101B-9397-08002B2CF9AE}" pid="4" name="CalculationRule">
    <vt:i4>0</vt:i4>
  </property>
</Properties>
</file>